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7" hidden="1">'部门项目支出预算表05-1'!$A$7:$W$742</definedName>
  </definedNames>
  <calcPr calcId="144525"/>
</workbook>
</file>

<file path=xl/sharedStrings.xml><?xml version="1.0" encoding="utf-8"?>
<sst xmlns="http://schemas.openxmlformats.org/spreadsheetml/2006/main" count="13785" uniqueCount="1925">
  <si>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</si>
  <si>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</si>
  <si>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</si>
  <si>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</si>
  <si>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</si>
  <si>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</si>
  <si>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</si>
  <si>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</si>
  <si>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</si>
  <si>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</si>
  <si>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</si>
  <si>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</si>
  <si>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</si>
  <si>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</si>
  <si>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</si>
  <si>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</si>
  <si>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</si>
  <si>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</si>
  <si>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</si>
  <si>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</si>
  <si>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</si>
  <si>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</si>
  <si>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</si>
  <si>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</si>
  <si>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</si>
  <si>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</si>
  <si>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</si>
  <si>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</si>
  <si>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</si>
  <si>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</si>
  <si>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</si>
  <si>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</si>
  <si>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</si>
  <si>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</si>
  <si>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</si>
  <si>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</si>
  <si>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</si>
  <si>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</si>
  <si>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</si>
  <si>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</si>
  <si>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</si>
  <si>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</si>
  <si>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</si>
  <si>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</si>
  <si>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</si>
  <si>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</si>
  <si>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</si>
  <si>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</si>
  <si>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</si>
  <si>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</si>
  <si>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</si>
  <si>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</si>
  <si>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</si>
  <si>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</si>
  <si>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</si>
  <si>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</si>
  <si>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</si>
  <si>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</si>
  <si>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</si>
  <si>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</si>
  <si>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</si>
  <si>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</si>
  <si>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</si>
  <si>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131</t>
  </si>
  <si>
    <t>玉溪市卫生健康委员会</t>
  </si>
  <si>
    <t>131001</t>
  </si>
  <si>
    <t>131004</t>
  </si>
  <si>
    <t>玉溪市疾病预防控制中心</t>
  </si>
  <si>
    <t>131005</t>
  </si>
  <si>
    <t>玉溪市妇幼保健院</t>
  </si>
  <si>
    <t>131006</t>
  </si>
  <si>
    <t>玉溪市卫生健康委员会卫生监督局</t>
  </si>
  <si>
    <t>131007</t>
  </si>
  <si>
    <t>玉溪市中心血站</t>
  </si>
  <si>
    <t>131008</t>
  </si>
  <si>
    <t>玉溪市人民医院</t>
  </si>
  <si>
    <t>131009</t>
  </si>
  <si>
    <t>玉溪市中医医院</t>
  </si>
  <si>
    <t>131010</t>
  </si>
  <si>
    <t>玉溪市第二人民医院</t>
  </si>
  <si>
    <t>131011</t>
  </si>
  <si>
    <t>玉溪市急救中心</t>
  </si>
  <si>
    <t>131012</t>
  </si>
  <si>
    <t>玉溪市儿童医院</t>
  </si>
  <si>
    <t>131013</t>
  </si>
  <si>
    <t>玉溪市中山医院（玉溪市人民医院抚仙湖院区）</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</si>
  <si>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</si>
  <si>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</si>
  <si>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</si>
  <si>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</si>
  <si>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</si>
  <si>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</si>
  <si>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</si>
  <si>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</si>
  <si>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</si>
  <si>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</si>
  <si>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</si>
  <si>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</si>
  <si>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</si>
  <si>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</si>
  <si>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20132</t>
  </si>
  <si>
    <t>2013202</t>
  </si>
  <si>
    <t>20138</t>
  </si>
  <si>
    <t>2013816</t>
  </si>
  <si>
    <t>20199</t>
  </si>
  <si>
    <t>2019999</t>
  </si>
  <si>
    <t>206</t>
  </si>
  <si>
    <t>20607</t>
  </si>
  <si>
    <t>2060702</t>
  </si>
  <si>
    <t>20699</t>
  </si>
  <si>
    <t>2069999</t>
  </si>
  <si>
    <t>208</t>
  </si>
  <si>
    <t>20805</t>
  </si>
  <si>
    <t>2080501</t>
  </si>
  <si>
    <t>2080502</t>
  </si>
  <si>
    <t>2080505</t>
  </si>
  <si>
    <t>2080506</t>
  </si>
  <si>
    <t>20808</t>
  </si>
  <si>
    <t>2080801</t>
  </si>
  <si>
    <t>20899</t>
  </si>
  <si>
    <t>2089999</t>
  </si>
  <si>
    <t>210</t>
  </si>
  <si>
    <t>21001</t>
  </si>
  <si>
    <t>2100101</t>
  </si>
  <si>
    <t>2100102</t>
  </si>
  <si>
    <t>2100103</t>
  </si>
  <si>
    <t>2100199</t>
  </si>
  <si>
    <t>21002</t>
  </si>
  <si>
    <t>2100201</t>
  </si>
  <si>
    <t>2100202</t>
  </si>
  <si>
    <t>2100205</t>
  </si>
  <si>
    <t>2100207</t>
  </si>
  <si>
    <t>2100299</t>
  </si>
  <si>
    <t>21003</t>
  </si>
  <si>
    <t>2100399</t>
  </si>
  <si>
    <t>21004</t>
  </si>
  <si>
    <t>2100401</t>
  </si>
  <si>
    <t>2100402</t>
  </si>
  <si>
    <t>2100403</t>
  </si>
  <si>
    <t>2100405</t>
  </si>
  <si>
    <t>2100406</t>
  </si>
  <si>
    <t>2100408</t>
  </si>
  <si>
    <t>2100409</t>
  </si>
  <si>
    <t>21007</t>
  </si>
  <si>
    <t>2100717</t>
  </si>
  <si>
    <t>2100799</t>
  </si>
  <si>
    <t>21011</t>
  </si>
  <si>
    <t>2101101</t>
  </si>
  <si>
    <t>2101102</t>
  </si>
  <si>
    <t>2101103</t>
  </si>
  <si>
    <t>2101199</t>
  </si>
  <si>
    <t>21017</t>
  </si>
  <si>
    <t>2101704</t>
  </si>
  <si>
    <t>21099</t>
  </si>
  <si>
    <t>2109999</t>
  </si>
  <si>
    <t>216</t>
  </si>
  <si>
    <t>21602</t>
  </si>
  <si>
    <t>2160250</t>
  </si>
  <si>
    <t>221</t>
  </si>
  <si>
    <t>22102</t>
  </si>
  <si>
    <t>2210201</t>
  </si>
  <si>
    <t>2210203</t>
  </si>
  <si>
    <t>229</t>
  </si>
  <si>
    <t>22999</t>
  </si>
  <si>
    <t>2299999</t>
  </si>
  <si>
    <t>230</t>
  </si>
  <si>
    <t>23002</t>
  </si>
  <si>
    <t>2300249</t>
  </si>
  <si>
    <t>232</t>
  </si>
  <si>
    <t>23203</t>
  </si>
  <si>
    <t>2320399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</si>
  <si>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</si>
  <si>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</si>
  <si>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</si>
  <si>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</si>
  <si>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</si>
  <si>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</si>
  <si>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</si>
  <si>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</si>
  <si>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</si>
  <si>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</si>
  <si>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</si>
  <si>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</si>
  <si>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</si>
  <si>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</si>
  <si>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</si>
  <si>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</si>
  <si>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</si>
  <si>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</si>
  <si>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</si>
  <si>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</si>
  <si>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</si>
  <si>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</si>
  <si>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</si>
  <si>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</si>
  <si>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</si>
  <si>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</si>
  <si>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</si>
  <si>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</si>
  <si>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</si>
  <si>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</si>
  <si>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</si>
  <si>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</si>
  <si>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</si>
  <si>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</si>
  <si>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</si>
  <si>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</si>
  <si>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</si>
  <si>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</si>
  <si>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</si>
  <si>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</si>
  <si>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</si>
  <si>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</si>
  <si>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</si>
  <si>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</si>
  <si>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</si>
  <si>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530400210000000627846</t>
  </si>
  <si>
    <t>行政人员工资支出</t>
  </si>
  <si>
    <t>行政运行</t>
  </si>
  <si>
    <t>30101</t>
  </si>
  <si>
    <t>基本工资</t>
  </si>
  <si>
    <t>30102</t>
  </si>
  <si>
    <t>津贴补贴</t>
  </si>
  <si>
    <t>购房补贴</t>
  </si>
  <si>
    <t>530400210000000627847</t>
  </si>
  <si>
    <t>事业人员工资支出</t>
  </si>
  <si>
    <t>机关服务</t>
  </si>
  <si>
    <t>30107</t>
  </si>
  <si>
    <t>绩效工资</t>
  </si>
  <si>
    <t>530400210000000627848</t>
  </si>
  <si>
    <t>社会保障缴费</t>
  </si>
  <si>
    <t>机关事业单位基本养老保险缴费支出</t>
  </si>
  <si>
    <t>30108</t>
  </si>
  <si>
    <t>机关事业单位基本养老保险缴费</t>
  </si>
  <si>
    <t>30112</t>
  </si>
  <si>
    <t>其他社会保障缴费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</si>
  <si>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</si>
  <si>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</si>
  <si>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</si>
  <si>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</si>
  <si>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</si>
  <si>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</si>
  <si>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</si>
  <si>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</si>
  <si>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</si>
  <si>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</si>
  <si>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530400210000000627849</t>
  </si>
  <si>
    <t>住房公积金</t>
  </si>
  <si>
    <t>30113</t>
  </si>
  <si>
    <t>530400210000000627850</t>
  </si>
  <si>
    <t>对个人和家庭的补助</t>
  </si>
  <si>
    <t>行政单位离退休</t>
  </si>
  <si>
    <t>30301</t>
  </si>
  <si>
    <t>离休费</t>
  </si>
  <si>
    <t>30305</t>
  </si>
  <si>
    <t>生活补助</t>
  </si>
  <si>
    <t>530400210000000627851</t>
  </si>
  <si>
    <t>其他工资福利支出</t>
  </si>
  <si>
    <t>30103</t>
  </si>
  <si>
    <t>奖金</t>
  </si>
  <si>
    <t>530400210000000627853</t>
  </si>
  <si>
    <t>公车购置及运维费</t>
  </si>
  <si>
    <t>30231</t>
  </si>
  <si>
    <t>公务用车运行维护费</t>
  </si>
  <si>
    <t>530400210000000627854</t>
  </si>
  <si>
    <t>行政人员公务交通补贴</t>
  </si>
  <si>
    <t>30239</t>
  </si>
  <si>
    <t>其他交通费用</t>
  </si>
  <si>
    <t>530400210000000627855</t>
  </si>
  <si>
    <t>工会经费</t>
  </si>
  <si>
    <t>30228</t>
  </si>
  <si>
    <t>530400210000000627857</t>
  </si>
  <si>
    <t>一般公用经费</t>
  </si>
  <si>
    <t>30299</t>
  </si>
  <si>
    <t>其他商品和服务支出</t>
  </si>
  <si>
    <t>30201</t>
  </si>
  <si>
    <t>办公费</t>
  </si>
  <si>
    <t>30211</t>
  </si>
  <si>
    <t>差旅费</t>
  </si>
  <si>
    <t>30215</t>
  </si>
  <si>
    <t>会议费</t>
  </si>
  <si>
    <t>30216</t>
  </si>
  <si>
    <t>培训费</t>
  </si>
  <si>
    <t>30227</t>
  </si>
  <si>
    <t>委托业务费</t>
  </si>
  <si>
    <t>30229</t>
  </si>
  <si>
    <t>福利费</t>
  </si>
  <si>
    <t>31002</t>
  </si>
  <si>
    <t>办公设备购置</t>
  </si>
  <si>
    <t>530400221100000664021</t>
  </si>
  <si>
    <t>30217</t>
  </si>
  <si>
    <t>530400241100002355358</t>
  </si>
  <si>
    <t>奖励性绩效工资（工资部分）经费</t>
  </si>
  <si>
    <t>530400241100002355637</t>
  </si>
  <si>
    <t>编外临聘人员经费</t>
  </si>
  <si>
    <t>30199</t>
  </si>
  <si>
    <t>530400241100002355699</t>
  </si>
  <si>
    <t>职业年金经费</t>
  </si>
  <si>
    <t>机关事业单位职业年金缴费支出</t>
  </si>
  <si>
    <t>30109</t>
  </si>
  <si>
    <t>职业年金缴费</t>
  </si>
  <si>
    <t>530400241100002355775</t>
  </si>
  <si>
    <t>机关后勤购买服务经费</t>
  </si>
  <si>
    <t>530400241100002367639</t>
  </si>
  <si>
    <t>年终一次性奖金</t>
  </si>
  <si>
    <t>530400241100002367717</t>
  </si>
  <si>
    <t>工作业务经费</t>
  </si>
  <si>
    <t>一般行政管理事务</t>
  </si>
  <si>
    <t>30205</t>
  </si>
  <si>
    <t>水费</t>
  </si>
  <si>
    <t>30206</t>
  </si>
  <si>
    <t>电费</t>
  </si>
  <si>
    <t>30207</t>
  </si>
  <si>
    <t>邮电费</t>
  </si>
  <si>
    <t>30213</t>
  </si>
  <si>
    <t>维修（护）费</t>
  </si>
  <si>
    <t>30226</t>
  </si>
  <si>
    <t>劳务费</t>
  </si>
  <si>
    <t>530400241100002368020</t>
  </si>
  <si>
    <t>工作业务（公务用车运维费）经费</t>
  </si>
  <si>
    <t>530400241100002368126</t>
  </si>
  <si>
    <t>工作业务（接待费）经费</t>
  </si>
  <si>
    <t>530400251100003568996</t>
  </si>
  <si>
    <t>退休医疗照顾人员门诊医疗费用补助经费</t>
  </si>
  <si>
    <t>530400251100003569383</t>
  </si>
  <si>
    <t>奖励性绩效工资（高于部分）经费</t>
  </si>
  <si>
    <t>530400251100003842807</t>
  </si>
  <si>
    <t>租赁费</t>
  </si>
  <si>
    <t>30214</t>
  </si>
  <si>
    <t>530400251100003842852</t>
  </si>
  <si>
    <t>物业管理费</t>
  </si>
  <si>
    <t>30209</t>
  </si>
  <si>
    <t>530400210000000627468</t>
  </si>
  <si>
    <t>疾病预防控制机构</t>
  </si>
  <si>
    <t>530400210000000627469</t>
  </si>
  <si>
    <t>530400210000000627470</t>
  </si>
  <si>
    <t>530400210000000627471</t>
  </si>
  <si>
    <t>事业单位离退休</t>
  </si>
  <si>
    <t>530400210000000627473</t>
  </si>
  <si>
    <t>530400210000000627474</t>
  </si>
  <si>
    <t>530400210000000627476</t>
  </si>
  <si>
    <t>30202</t>
  </si>
  <si>
    <t>印刷费</t>
  </si>
  <si>
    <t>530400231100001382753</t>
  </si>
  <si>
    <t>残疾人就业保障金</t>
  </si>
  <si>
    <t>530400241100002090581</t>
  </si>
  <si>
    <t>530400241100002094776</t>
  </si>
  <si>
    <t>530400241100002095008</t>
  </si>
  <si>
    <t>530400241100002095016</t>
  </si>
  <si>
    <t>奖励性绩效性工资（工资部分）经费</t>
  </si>
  <si>
    <t>530400241100002794612</t>
  </si>
  <si>
    <t>事业单位年度考核优秀奖经费</t>
  </si>
  <si>
    <t>530400241100002829149</t>
  </si>
  <si>
    <t>2024年市直退休医疗照顾人员医疗费用补助资金</t>
  </si>
  <si>
    <t>530400251100003582595</t>
  </si>
  <si>
    <t>530400251100003841811</t>
  </si>
  <si>
    <t>530400210000000626432</t>
  </si>
  <si>
    <t>妇幼保健机构</t>
  </si>
  <si>
    <t>530400210000000626433</t>
  </si>
  <si>
    <t>530400210000000626434</t>
  </si>
  <si>
    <t>530400210000000626435</t>
  </si>
  <si>
    <t>530400210000000626437</t>
  </si>
  <si>
    <t>530400210000000626438</t>
  </si>
  <si>
    <t>530400210000000626440</t>
  </si>
  <si>
    <t>530400221100000248048</t>
  </si>
  <si>
    <t>玉溪市妇幼保健院事业收入（绩效工资）专项资金</t>
  </si>
  <si>
    <t>530400221100000337681</t>
  </si>
  <si>
    <t>530400231100001223363</t>
  </si>
  <si>
    <t>530400241100002086832</t>
  </si>
  <si>
    <t>玉溪市妇幼保健院编外临聘人员经费</t>
  </si>
  <si>
    <t>530400241100002088371</t>
  </si>
  <si>
    <t>玉溪市妇幼保健院奖励性绩效工资（工资部分）资金</t>
  </si>
  <si>
    <t>530400241100002091142</t>
  </si>
  <si>
    <t>530400241100002789404</t>
  </si>
  <si>
    <t>事业单位工作人员2023年至2025考核优秀奖经费</t>
  </si>
  <si>
    <t>530400251100003569625</t>
  </si>
  <si>
    <t>530400251100003572603</t>
  </si>
  <si>
    <t>玉溪市妇幼保健院人才奖励经费</t>
  </si>
  <si>
    <t>530400251100003576746</t>
  </si>
  <si>
    <t>530400251100003855773</t>
  </si>
  <si>
    <t>玉溪市妇幼保健院编外人员绩效经费</t>
  </si>
  <si>
    <t>530400210000000627077</t>
  </si>
  <si>
    <t>卫生监督机构</t>
  </si>
  <si>
    <t>530400210000000627079</t>
  </si>
  <si>
    <t>530400210000000627080</t>
  </si>
  <si>
    <t>530400210000000627081</t>
  </si>
  <si>
    <t>530400210000000627082</t>
  </si>
  <si>
    <t>530400210000000627084</t>
  </si>
  <si>
    <t>530400210000000627085</t>
  </si>
  <si>
    <t>530400210000000627086</t>
  </si>
  <si>
    <t>530400210000000627088</t>
  </si>
  <si>
    <t>530400241100002388185</t>
  </si>
  <si>
    <t>530400251100003567896</t>
  </si>
  <si>
    <t>职业年金记实经费</t>
  </si>
  <si>
    <t>530400251100003579093</t>
  </si>
  <si>
    <t>530400251100003579836</t>
  </si>
  <si>
    <t>530400251100003590946</t>
  </si>
  <si>
    <t>530400210000000630709</t>
  </si>
  <si>
    <t>采供血机构</t>
  </si>
  <si>
    <t>530400210000000630710</t>
  </si>
  <si>
    <t>530400210000000630711</t>
  </si>
  <si>
    <t>530400210000000630712</t>
  </si>
  <si>
    <t>530400210000000630714</t>
  </si>
  <si>
    <t>530400210000000630715</t>
  </si>
  <si>
    <t>530400210000000630717</t>
  </si>
  <si>
    <t>530400221100000322035</t>
  </si>
  <si>
    <t>530400231100001395683</t>
  </si>
  <si>
    <t>530400241100002363563</t>
  </si>
  <si>
    <t>530400241100002363644</t>
  </si>
  <si>
    <t>530400241100002367091</t>
  </si>
  <si>
    <t>530400241100002383630</t>
  </si>
  <si>
    <t>530400241100002383751</t>
  </si>
  <si>
    <t>530400241100002383985</t>
  </si>
  <si>
    <t>奖励性绩效工资（增量部分）经费</t>
  </si>
  <si>
    <t>530400241100002801765</t>
  </si>
  <si>
    <t>事业单位年度考核优秀资金</t>
  </si>
  <si>
    <t>530400241100002839329</t>
  </si>
  <si>
    <t>退休医疗照顾医疗人员医疗费用补助资金</t>
  </si>
  <si>
    <t>530400251100003841337</t>
  </si>
  <si>
    <t>530400251100003841338</t>
  </si>
  <si>
    <t>530400251100003858029</t>
  </si>
  <si>
    <t>单位资金弥补残疾人就业保障经费</t>
  </si>
  <si>
    <t>530400231100001118629</t>
  </si>
  <si>
    <t>市人民医院事业支出人员经费</t>
  </si>
  <si>
    <t>综合医院</t>
  </si>
  <si>
    <t>530400231100001119634</t>
  </si>
  <si>
    <t>市人民医院社保经费</t>
  </si>
  <si>
    <t>其他社会保障和就业支出</t>
  </si>
  <si>
    <t>530400231100001119972</t>
  </si>
  <si>
    <t>市人民医院住房公积金</t>
  </si>
  <si>
    <t>530400231100001119986</t>
  </si>
  <si>
    <t>市人民医院其他工资福利支出经费</t>
  </si>
  <si>
    <t>30106</t>
  </si>
  <si>
    <t>伙食补助费</t>
  </si>
  <si>
    <t>30114</t>
  </si>
  <si>
    <t>医疗费</t>
  </si>
  <si>
    <t>530400231100001120136</t>
  </si>
  <si>
    <t>市人民医院其他对个人和家庭补助</t>
  </si>
  <si>
    <t>30399</t>
  </si>
  <si>
    <t>其他对个人和家庭的补助</t>
  </si>
  <si>
    <t>530400241100002108683</t>
  </si>
  <si>
    <t>事业运行</t>
  </si>
  <si>
    <t>530400241100002355489</t>
  </si>
  <si>
    <t>市医院社保（财政承担）经费</t>
  </si>
  <si>
    <t>530400241100002355701</t>
  </si>
  <si>
    <t>离退休人员生活（财政）经费</t>
  </si>
  <si>
    <t>530400221100000279257</t>
  </si>
  <si>
    <t>玉溪市中医医院事业支出人员经费</t>
  </si>
  <si>
    <t>中医（民族）医院</t>
  </si>
  <si>
    <t>530400241100002098757</t>
  </si>
  <si>
    <t>玉溪市中医医院事业支出人员社保资金</t>
  </si>
  <si>
    <t>530400241100002098943</t>
  </si>
  <si>
    <t>玉溪市中医医院事业支出人员住房公积金资金</t>
  </si>
  <si>
    <t>530400241100002099081</t>
  </si>
  <si>
    <t>玉溪市中医医院编外临聘人员经费</t>
  </si>
  <si>
    <t>530400241100002099400</t>
  </si>
  <si>
    <t>玉溪市中医医院事业支出人员补助经费</t>
  </si>
  <si>
    <t>死亡抚恤</t>
  </si>
  <si>
    <t>30304</t>
  </si>
  <si>
    <t>抚恤金</t>
  </si>
  <si>
    <t>530400241100002352110</t>
  </si>
  <si>
    <t>玉溪市中医医院定额补助（离退休生活补助）经费</t>
  </si>
  <si>
    <t>530400241100002354451</t>
  </si>
  <si>
    <t>玉溪市中医医院定额补助（社保）经费</t>
  </si>
  <si>
    <t>530400241100002094407</t>
  </si>
  <si>
    <t>玉溪市第二人民医院编外临聘人员经费</t>
  </si>
  <si>
    <t>精神病医院</t>
  </si>
  <si>
    <t>530400241100002094506</t>
  </si>
  <si>
    <t>奖励性绩效工资经费</t>
  </si>
  <si>
    <t>530400241100002355832</t>
  </si>
  <si>
    <t>年度包干补助（工资部分）经费</t>
  </si>
  <si>
    <t>530400241100002355941</t>
  </si>
  <si>
    <t>年度包干补助（退休人员部分）经费</t>
  </si>
  <si>
    <t>530400241100002356193</t>
  </si>
  <si>
    <t>年度包干补助（社会保险）经费</t>
  </si>
  <si>
    <t>530400210000000627809</t>
  </si>
  <si>
    <t>应急救治机构</t>
  </si>
  <si>
    <t>530400210000000627810</t>
  </si>
  <si>
    <t>530400210000000627811</t>
  </si>
  <si>
    <t>530400210000000627812</t>
  </si>
  <si>
    <t>530400210000000627814</t>
  </si>
  <si>
    <t>其他公立医院支出</t>
  </si>
  <si>
    <t>530400210000000627815</t>
  </si>
  <si>
    <t>530400210000000627817</t>
  </si>
  <si>
    <t>530400231100001123759</t>
  </si>
  <si>
    <t>奖励性绩效增量</t>
  </si>
  <si>
    <t>530400231100001187405</t>
  </si>
  <si>
    <t>530400241100002073339</t>
  </si>
  <si>
    <t>530400241100002073341</t>
  </si>
  <si>
    <t>530400241100002895996</t>
  </si>
  <si>
    <t>自有资金利息专项资金</t>
  </si>
  <si>
    <t>530400251100003516337</t>
  </si>
  <si>
    <t>530400251100003516401</t>
  </si>
  <si>
    <t>530400251100003516411</t>
  </si>
  <si>
    <t>530400251100003516641</t>
  </si>
  <si>
    <t>530400251100003841808</t>
  </si>
  <si>
    <t>530400221100000270693</t>
  </si>
  <si>
    <t>玉溪市儿童医院自有资金预算支出专项资金（工资类）</t>
  </si>
  <si>
    <t>儿童医院</t>
  </si>
  <si>
    <t>530400241100002073343</t>
  </si>
  <si>
    <t>530400241100002359791</t>
  </si>
  <si>
    <t>编内人员养老保险经费</t>
  </si>
  <si>
    <t>530400241100002387762</t>
  </si>
  <si>
    <t>退休人员生活补助经费</t>
  </si>
  <si>
    <t>530400241100002082091</t>
  </si>
  <si>
    <t>玉溪市中山医院遗属补助经费</t>
  </si>
  <si>
    <t>530400241100002103878</t>
  </si>
  <si>
    <t>玉溪市中山医院退休人员生活补助经费</t>
  </si>
  <si>
    <t>30302</t>
  </si>
  <si>
    <t>退休费</t>
  </si>
  <si>
    <t>530400241100002104635</t>
  </si>
  <si>
    <t>玉溪市中山医院事业支出（基本工资）人员经费</t>
  </si>
  <si>
    <t>530400241100002108214</t>
  </si>
  <si>
    <t>玉溪市中山医院事业支出（社会保险）人员经费</t>
  </si>
  <si>
    <t>530400241100002108340</t>
  </si>
  <si>
    <t>玉溪市中山医院事业支出（住房公积金）人员经费</t>
  </si>
  <si>
    <t>530400241100002363855</t>
  </si>
  <si>
    <t>编外人员经费</t>
  </si>
  <si>
    <t>530400251100003579539</t>
  </si>
  <si>
    <t>玉溪市中山医院人员经费（社会保险）上划补助资金</t>
  </si>
  <si>
    <t>530400251100003579576</t>
  </si>
  <si>
    <t>玉溪市中山医院人员经费（住房公积金）上划补助资金</t>
  </si>
  <si>
    <t>530400251100003579628</t>
  </si>
  <si>
    <t>玉溪市中山医院人员经费上划补助资金</t>
  </si>
  <si>
    <t>530400251100003583601</t>
  </si>
  <si>
    <t>一次性抚恤金及丧葬经费</t>
  </si>
  <si>
    <t>530400251100003587413</t>
  </si>
  <si>
    <t>玉溪市中山医院人员经费（残保金）经费</t>
  </si>
  <si>
    <t>530400251100003847242</t>
  </si>
  <si>
    <t>其他人员经费</t>
  </si>
  <si>
    <t>预算05-1表</t>
  </si>
  <si>
    <t>2025年部门项目支出预算表</t>
  </si>
  <si>
    <t>项目分类</t>
  </si>
  <si>
    <t>项目单位</t>
  </si>
  <si>
    <t>本年拨款</t>
  </si>
  <si>
    <t>单位资金</t>
  </si>
  <si>
    <t>其中：本次下达</t>
  </si>
  <si>
    <t>医疗事故预防接种异常反应鉴定经费</t>
  </si>
  <si>
    <t>民生类</t>
  </si>
  <si>
    <t>530400200000000000182</t>
  </si>
  <si>
    <t>农村定向免费医学生市级配套补助资金</t>
  </si>
  <si>
    <t>530400200000000000196</t>
  </si>
  <si>
    <t>其他卫生健康管理事务支出</t>
  </si>
  <si>
    <t>妇幼健康专项经费</t>
  </si>
  <si>
    <t>530400200000000000769</t>
  </si>
  <si>
    <t>计划生育服务</t>
  </si>
  <si>
    <t>39999</t>
  </si>
  <si>
    <t>严重精神障碍患者监护人市本级专项资金</t>
  </si>
  <si>
    <t>530400200000000000887</t>
  </si>
  <si>
    <t>重大公共卫生服务</t>
  </si>
  <si>
    <t>严重精神障碍患者监护人县区级专项经费</t>
  </si>
  <si>
    <t>530400200000000000906</t>
  </si>
  <si>
    <t>市对下基层卫生保障资金</t>
  </si>
  <si>
    <t>530400200000000001051</t>
  </si>
  <si>
    <t>其他基层医疗卫生机构支出</t>
  </si>
  <si>
    <t>基本公共卫生服务</t>
  </si>
  <si>
    <t>市级家庭发展项目补助经费</t>
  </si>
  <si>
    <t>530400200000000001209</t>
  </si>
  <si>
    <t>预防性体检县区专项资金</t>
  </si>
  <si>
    <t>事业发展类</t>
  </si>
  <si>
    <t>530400200000000001629</t>
  </si>
  <si>
    <t>市卫生健康委人才工作综合补助经费</t>
  </si>
  <si>
    <t>530400200000000001923</t>
  </si>
  <si>
    <t>其他科学技术支出</t>
  </si>
  <si>
    <t>市级人口均衡发展项目补助经费</t>
  </si>
  <si>
    <t>530400210000000626736</t>
  </si>
  <si>
    <t>乡镇卫生院院长培训省级补助资金</t>
  </si>
  <si>
    <t>专项业务类</t>
  </si>
  <si>
    <t>530400211100000007928</t>
  </si>
  <si>
    <t>其他卫生健康支出</t>
  </si>
  <si>
    <t>加大执业（助理）医师培养力度补助经费</t>
  </si>
  <si>
    <t>530400211100000579171</t>
  </si>
  <si>
    <t>基本药物制度中央补助资金</t>
  </si>
  <si>
    <t>530400221100000690611</t>
  </si>
  <si>
    <t>医疗卫生共同财政事权转移支付支出</t>
  </si>
  <si>
    <t>计划生育中央补助资金</t>
  </si>
  <si>
    <t>530400221100000690688</t>
  </si>
  <si>
    <t>基本公共卫生服务中央补助资金</t>
  </si>
  <si>
    <t>530400221100000690701</t>
  </si>
  <si>
    <t>脱贫人口重点人群和低收入人群家庭医生签约服务补助资金</t>
  </si>
  <si>
    <t>530400221100000746666</t>
  </si>
  <si>
    <t>基本公共卫生服务省级补助资金</t>
  </si>
  <si>
    <t>530400221100000746792</t>
  </si>
  <si>
    <t>计划生育省级补助资金</t>
  </si>
  <si>
    <t>530400221100000746831</t>
  </si>
  <si>
    <t>中医医术确有专长人员医师资格考核补助资金</t>
  </si>
  <si>
    <t>530400221100000787354</t>
  </si>
  <si>
    <t>中医（民族医）药专项</t>
  </si>
  <si>
    <t>玉溪市双价人乳头瘤病毒（HPV2）疫苗健康惠民工程市级补助经费</t>
  </si>
  <si>
    <t>530400231100001189360</t>
  </si>
  <si>
    <t>健康云南考核以奖代补资金项目市本级资金</t>
  </si>
  <si>
    <t>530400241100002850648</t>
  </si>
  <si>
    <t>特定项目社2024041省级专项资金</t>
  </si>
  <si>
    <t>530400241100002870134</t>
  </si>
  <si>
    <t>乡村卫生人员执业（助理）医师转化培训省级补助资金</t>
  </si>
  <si>
    <t>530400241100003087799</t>
  </si>
  <si>
    <t>2024年医疗服务与保障能力提升（公立医院综合改革）中央补助资金</t>
  </si>
  <si>
    <t>530400241100003121671</t>
  </si>
  <si>
    <t>高层次人才特殊生活补贴专项经费</t>
  </si>
  <si>
    <t>530400241100003156794</t>
  </si>
  <si>
    <t>2025年玉溪市医师资格考试考前培训项目经费</t>
  </si>
  <si>
    <t>530400241100003219516</t>
  </si>
  <si>
    <t>特定项目社2024060中央专项经费</t>
  </si>
  <si>
    <t>530400241100003226293</t>
  </si>
  <si>
    <t>玉溪市医师资格考试医学综合考试经费</t>
  </si>
  <si>
    <t>530400251100003558489</t>
  </si>
  <si>
    <t>特定项目社2025020专项经费</t>
  </si>
  <si>
    <t>530400251100003558567</t>
  </si>
  <si>
    <t>特定项目社2025024专项经费</t>
  </si>
  <si>
    <t>530400251100003558884</t>
  </si>
  <si>
    <t>特定项目社2025021专项经费</t>
  </si>
  <si>
    <t>530400251100003567821</t>
  </si>
  <si>
    <t>2025年全国卫生专业技术资格考试、护士执业资格考试、卫生人才评价考试经费</t>
  </si>
  <si>
    <t>530400251100003569198</t>
  </si>
  <si>
    <t>婴幼儿意外伤害险参保补贴经费</t>
  </si>
  <si>
    <t>530400251100003765471</t>
  </si>
  <si>
    <t>其他计划生育事务支出</t>
  </si>
  <si>
    <t>2022年卫生健康系统人才项目（专家工作站（县区级5个））经费</t>
  </si>
  <si>
    <t>530400251100003850553</t>
  </si>
  <si>
    <t>生育支持省级补助资金</t>
  </si>
  <si>
    <t>530400251100004055977</t>
  </si>
  <si>
    <t>2022年度省级人才发展专项资金</t>
  </si>
  <si>
    <t>530400221100001027551</t>
  </si>
  <si>
    <t>特定项目社2023048专项资金</t>
  </si>
  <si>
    <t>530400231100001756325</t>
  </si>
  <si>
    <t>30218</t>
  </si>
  <si>
    <t>专用材料费</t>
  </si>
  <si>
    <t>特定项目社2023049专项资金</t>
  </si>
  <si>
    <t>530400231100001793835</t>
  </si>
  <si>
    <t>31003</t>
  </si>
  <si>
    <t>专用设备购置</t>
  </si>
  <si>
    <t>31007</t>
  </si>
  <si>
    <t>信息网络及软件购置更新</t>
  </si>
  <si>
    <t>特定项目社2023080专项资金</t>
  </si>
  <si>
    <t>530400231100002198900</t>
  </si>
  <si>
    <t>医疗服务与保障能力提升（医疗卫生机构能力建设、卫生健康人才培养）补助资金</t>
  </si>
  <si>
    <t>530400231100002348453</t>
  </si>
  <si>
    <t>特定项目社2024040专项资金</t>
  </si>
  <si>
    <t>530400241100002753996</t>
  </si>
  <si>
    <t>健康云南考核以奖代补资金</t>
  </si>
  <si>
    <t>530400241100002794938</t>
  </si>
  <si>
    <t>2024年省级食品安全监管专项补助资金</t>
  </si>
  <si>
    <t>530400241100002867180</t>
  </si>
  <si>
    <t>食品安全监管</t>
  </si>
  <si>
    <t>提前下达2024年疾控机构医疗服务与保障能力提升第一批补助资金</t>
  </si>
  <si>
    <t>530400241100002896651</t>
  </si>
  <si>
    <t>基本公共卫生服务项目中央补助结算资金</t>
  </si>
  <si>
    <t>530400241100003125330</t>
  </si>
  <si>
    <t>特定项目社2024054专项资金</t>
  </si>
  <si>
    <t>530400241100003179353</t>
  </si>
  <si>
    <t>卫生健康事业发展省对下补助资金</t>
  </si>
  <si>
    <t>530400241100003205266</t>
  </si>
  <si>
    <t>2024年医疗卫生事业高质量发展三年行动（第二批）补助资金</t>
  </si>
  <si>
    <t>530400241100003257662</t>
  </si>
  <si>
    <t>医疗卫生事业高质量发展三年行动计划（公共卫生辐射力提升）资金</t>
  </si>
  <si>
    <t>530400241100003345181</t>
  </si>
  <si>
    <t>特定项目社2025028专项资金</t>
  </si>
  <si>
    <t>530400251100003559480</t>
  </si>
  <si>
    <t>事业收入专项资金</t>
  </si>
  <si>
    <t>530400251100003572966</t>
  </si>
  <si>
    <t>社2021008专项资金</t>
  </si>
  <si>
    <t>530400210000000626264</t>
  </si>
  <si>
    <t>基本公共卫生服务项目专项资金</t>
  </si>
  <si>
    <t>530400210000000632932</t>
  </si>
  <si>
    <t>卫生健康事业发展经费</t>
  </si>
  <si>
    <t>530400210000000632942</t>
  </si>
  <si>
    <t>玉溪市妇幼保健院事业收入专项资金</t>
  </si>
  <si>
    <t>530400221100000230902</t>
  </si>
  <si>
    <t>特定项目社2022037专项资金</t>
  </si>
  <si>
    <t>530400221100000779169</t>
  </si>
  <si>
    <t>医疗服务与保障能力提升公立医院综合改革补助资金</t>
  </si>
  <si>
    <t>530400221100000898138</t>
  </si>
  <si>
    <t>2022年基本公共卫生服务项目专项资金</t>
  </si>
  <si>
    <t>530400221100001116085</t>
  </si>
  <si>
    <t>2023年医疗服务与保障能力提升公立医院综合改革补助资金</t>
  </si>
  <si>
    <t>530400231100001751074</t>
  </si>
  <si>
    <t>特定项目社2023067专项经费</t>
  </si>
  <si>
    <t>530400231100001973217</t>
  </si>
  <si>
    <t>特定项目社2023068专项经费</t>
  </si>
  <si>
    <t>530400231100001973478</t>
  </si>
  <si>
    <t>2023年卫生健康事业发展经费</t>
  </si>
  <si>
    <t>530400231100001974850</t>
  </si>
  <si>
    <t>基本公共卫生服务项目省级资金</t>
  </si>
  <si>
    <t>530400231100002236150</t>
  </si>
  <si>
    <t>特定项目社2023085专项经费</t>
  </si>
  <si>
    <t>530400231100002306494</t>
  </si>
  <si>
    <t>玉溪市公立医院改革与高质量发展示范项目经费</t>
  </si>
  <si>
    <t>530400231100002331348</t>
  </si>
  <si>
    <t>健康云南“以奖代补”项目经费</t>
  </si>
  <si>
    <t>530400241100002892854</t>
  </si>
  <si>
    <t>特定项目社2024045专项资金</t>
  </si>
  <si>
    <t>530400241100002892994</t>
  </si>
  <si>
    <t>玉溪市医学遗传诊断中心建设项目经费</t>
  </si>
  <si>
    <t>530400241100002982773</t>
  </si>
  <si>
    <t>医疗服务与保障能力提升补助资金</t>
  </si>
  <si>
    <t>530400241100003027838</t>
  </si>
  <si>
    <t>2023年卫生健康事业发展省对下专项结算补助资金</t>
  </si>
  <si>
    <t>530400241100003059978</t>
  </si>
  <si>
    <t>2024年基本公共卫生服务中央结算资金</t>
  </si>
  <si>
    <t>530400241100003207068</t>
  </si>
  <si>
    <t>2024年卫生健康事业发展省对下补助资金</t>
  </si>
  <si>
    <t>530400241100003207362</t>
  </si>
  <si>
    <t>特定项目社2024064重大公共卫生服务结算补助资金</t>
  </si>
  <si>
    <t>530400241100003258179</t>
  </si>
  <si>
    <t>2024年第二批医疗卫生事业高质量发展三年行动计划资金城乡适龄妇女“两癌”筛查提质拓面项目资金</t>
  </si>
  <si>
    <t>530400241100003267437</t>
  </si>
  <si>
    <t>其他一般公共服务支出</t>
  </si>
  <si>
    <t>特定项目社2025023专项资金</t>
  </si>
  <si>
    <t>530400251100003568202</t>
  </si>
  <si>
    <t>2022年基本公共卫生项目中央转移支付补助资金</t>
  </si>
  <si>
    <t>530400221100001070227</t>
  </si>
  <si>
    <t>2022年基本公共卫生服务项目省级补助（第二批）资金</t>
  </si>
  <si>
    <t>530400221100001083941</t>
  </si>
  <si>
    <t>2022年重大传染病防控结算经费</t>
  </si>
  <si>
    <t>530400231100001977408</t>
  </si>
  <si>
    <t>2023年重大传染病防控结算经费</t>
  </si>
  <si>
    <t>530400231100002386469</t>
  </si>
  <si>
    <t>2023年疾控机构医疗服务与保障能力提升(医疗卫生机构能力建设、卫生健康人才培养)补助资金</t>
  </si>
  <si>
    <t>530400231100002388024</t>
  </si>
  <si>
    <t>2024年重大传染病防控中央补助资金</t>
  </si>
  <si>
    <t>530400241100003046536</t>
  </si>
  <si>
    <t>530400241100003046951</t>
  </si>
  <si>
    <t>2024年基本公共卫生服务项目中央结算补助资金</t>
  </si>
  <si>
    <t>530400241100003298428</t>
  </si>
  <si>
    <t>特定项目2025029经费</t>
  </si>
  <si>
    <t>530400251100003559425</t>
  </si>
  <si>
    <t>血站事业收入专项资金</t>
  </si>
  <si>
    <t>530400221100000203059</t>
  </si>
  <si>
    <t>30901</t>
  </si>
  <si>
    <t>房屋建筑物购建</t>
  </si>
  <si>
    <t>公立医院高质量发展中央补助专项经费</t>
  </si>
  <si>
    <t>530400231100002332630</t>
  </si>
  <si>
    <t>玉溪市血液保障能力提升项目资金</t>
  </si>
  <si>
    <t>530400241100003241430</t>
  </si>
  <si>
    <t>特定项目社2025030项目经费</t>
  </si>
  <si>
    <t>530400251100003581061</t>
  </si>
  <si>
    <t>智能仓储搭建资金</t>
  </si>
  <si>
    <t>530400251100003857537</t>
  </si>
  <si>
    <t>玉溪市人民医院新院区建设项目前期工作经费补助资金</t>
  </si>
  <si>
    <t>530400221100001046398</t>
  </si>
  <si>
    <t>2022年万人计划名医专项培养经费</t>
  </si>
  <si>
    <t>530400221100001054728</t>
  </si>
  <si>
    <t>市人民医院事业支出经费</t>
  </si>
  <si>
    <t>530400231100001118443</t>
  </si>
  <si>
    <t>30225</t>
  </si>
  <si>
    <t>专用燃料费</t>
  </si>
  <si>
    <t>30240</t>
  </si>
  <si>
    <t>税金及附加费用</t>
  </si>
  <si>
    <t>31013</t>
  </si>
  <si>
    <t>31099</t>
  </si>
  <si>
    <t>其他资本性支出</t>
  </si>
  <si>
    <t>地方政府其他一般债务付息支出</t>
  </si>
  <si>
    <t>30701</t>
  </si>
  <si>
    <t>国内债务付息</t>
  </si>
  <si>
    <t>医疗服务与保障能力（卫生健康人才培养培训）中央财政补助资金</t>
  </si>
  <si>
    <t>530400231100001760700</t>
  </si>
  <si>
    <t>新冠患者救治费用中央财政补助资金</t>
  </si>
  <si>
    <t>530400231100002029916</t>
  </si>
  <si>
    <t>2023年基本公共卫生服务省级补助资金</t>
  </si>
  <si>
    <t>530400231100002064895</t>
  </si>
  <si>
    <t>特定项目社2023082专项资金</t>
  </si>
  <si>
    <t>530400231100002239561</t>
  </si>
  <si>
    <t>玉溪市公立医院改革与高质量发展示范项目—“大玉医”城市医疗集团学科能力提升专项经费</t>
  </si>
  <si>
    <t>530400231100002323422</t>
  </si>
  <si>
    <t>30309</t>
  </si>
  <si>
    <t>奖励金</t>
  </si>
  <si>
    <t>玉溪市公立医院改革与高质量发展示范项目—玉溪市市县一体化肿瘤防治中心建设专项经费</t>
  </si>
  <si>
    <t>530400231100002323809</t>
  </si>
  <si>
    <t>玉溪市公立医院改革与高质量发展示范项目—“大玉医”城市医疗集团信息化建设专项经费</t>
  </si>
  <si>
    <t>530400231100002323990</t>
  </si>
  <si>
    <t>2023年高层次人才培养专项经费</t>
  </si>
  <si>
    <t>530400231100002472130</t>
  </si>
  <si>
    <t>卫生事业发展省对下结算专项资金</t>
  </si>
  <si>
    <t>530400241100002665347</t>
  </si>
  <si>
    <t>提前下达2024年医疗服务与保障能力（卫生健康人才培养培训）中央财政专项补助资金</t>
  </si>
  <si>
    <t>530400241100002763879</t>
  </si>
  <si>
    <t>2023年人才发展专项资金</t>
  </si>
  <si>
    <t>530400241100002779747</t>
  </si>
  <si>
    <t>特定项目社2024042专项资金</t>
  </si>
  <si>
    <t>530400241100002818463</t>
  </si>
  <si>
    <t>玉溪市人民医院病房条件改造提升项目前期工作经费</t>
  </si>
  <si>
    <t>530400241100002989277</t>
  </si>
  <si>
    <t>基层医疗卫生人员技能培训计划专项资金</t>
  </si>
  <si>
    <t>530400241100003076940</t>
  </si>
  <si>
    <t>基本公共卫生服务项目中央补助资金</t>
  </si>
  <si>
    <t>530400241100003130721</t>
  </si>
  <si>
    <t>2024年卫生健康事业发展省对下补助资金——住院医师规范化培训补助资金</t>
  </si>
  <si>
    <t>530400241100003131257</t>
  </si>
  <si>
    <t>2024年卫生健康事业发展省对下补助资金——临床药学质量管理中心建设补助资金</t>
  </si>
  <si>
    <t>530400241100003131373</t>
  </si>
  <si>
    <t>特定项目社2024051专项经费</t>
  </si>
  <si>
    <t>530400241100003167275</t>
  </si>
  <si>
    <t>2024年第二批医疗卫生事业高质量发展三年行动计划资金—2024年医疗卫生人才发展专项资金</t>
  </si>
  <si>
    <t>530400241100003273630</t>
  </si>
  <si>
    <t>2024年第二批医疗卫生事业高质量发展三年行动计划资金—遏制丙肝流行攻坚行动专项资金</t>
  </si>
  <si>
    <t>530400241100003273683</t>
  </si>
  <si>
    <t>2022年人才项目专项经费</t>
  </si>
  <si>
    <t>530400251100003850767</t>
  </si>
  <si>
    <t>玉溪市中医医院事业支出经费</t>
  </si>
  <si>
    <t>530400210000000629402</t>
  </si>
  <si>
    <t>31001</t>
  </si>
  <si>
    <t>31006</t>
  </si>
  <si>
    <t>大型修缮</t>
  </si>
  <si>
    <t>基本公共卫生服务项目中央转移支付补助结算资金</t>
  </si>
  <si>
    <t>530400221100001100812</t>
  </si>
  <si>
    <t>省级中医特色专科、省级中医临床医学中心分中心补助资金</t>
  </si>
  <si>
    <t>530400221100001361359</t>
  </si>
  <si>
    <t>2023年医疗服务与保障能力提升补助（中医药事业传承与发展部分）中央补助资金</t>
  </si>
  <si>
    <t>530400231100001830110</t>
  </si>
  <si>
    <t>2023年医疗服务与保障能力提升（中医药事业传承与发展部分）补助资金</t>
  </si>
  <si>
    <t>530400231100001978711</t>
  </si>
  <si>
    <t>公立医院高质量发展示范项目资金</t>
  </si>
  <si>
    <t>530400231100002329741</t>
  </si>
  <si>
    <t>2023年中医高层次人才培养经费</t>
  </si>
  <si>
    <t>530400241100002642944</t>
  </si>
  <si>
    <t>提前下达2024年医疗服务与保障能力提升补助（中央级）资金</t>
  </si>
  <si>
    <t>530400241100002711135</t>
  </si>
  <si>
    <t>提前下达2024年卫生健康人才中央补助资金</t>
  </si>
  <si>
    <t>530400241100002733220</t>
  </si>
  <si>
    <t>特定项目社2024043号专项资金</t>
  </si>
  <si>
    <t>530400241100002812493</t>
  </si>
  <si>
    <t>2024年玉溪市城市中医医疗集团学科能力提升项目资金</t>
  </si>
  <si>
    <t>530400241100002948596</t>
  </si>
  <si>
    <t>制剂中心项目(前期）工作经费</t>
  </si>
  <si>
    <t>530400241100003045950</t>
  </si>
  <si>
    <t>2024年基本公共卫生服务项目中央补助结算资金</t>
  </si>
  <si>
    <t>530400241100003112236</t>
  </si>
  <si>
    <t>2024年医疗服务与保障能力提升（卫生人才）中央财政补助资金</t>
  </si>
  <si>
    <t>530400241100003138100</t>
  </si>
  <si>
    <t>530400241100003186774</t>
  </si>
  <si>
    <t>2024年第二批医疗卫生事业高质量发展三年行动计划资金</t>
  </si>
  <si>
    <t>530400241100003233723</t>
  </si>
  <si>
    <t>2024年第四批医疗卫生事业高质量发展三年行动资金</t>
  </si>
  <si>
    <t>530400241100003349319</t>
  </si>
  <si>
    <t>卫生行业专家工作站高层次医学团队经费</t>
  </si>
  <si>
    <t>530400251100003850677</t>
  </si>
  <si>
    <t>提前下达2023年医疗服务与保障能力提升（卫生健康人才培养培训）中央财政补助资金</t>
  </si>
  <si>
    <t>530400231100001840994</t>
  </si>
  <si>
    <t>心理健康教育科普基地项目经费</t>
  </si>
  <si>
    <t>530400231100001969773</t>
  </si>
  <si>
    <t>科普活动</t>
  </si>
  <si>
    <t>2023年医疗服务与保障能力提升（公立医院综合改革）结算补助资金</t>
  </si>
  <si>
    <t>530400231100002294731</t>
  </si>
  <si>
    <t>玉溪市第二人民医院公立医院改革与高质量发展示范项目经费</t>
  </si>
  <si>
    <t>530400231100002329856</t>
  </si>
  <si>
    <t>玉溪市第二人民医院业务收入经费</t>
  </si>
  <si>
    <t>530400241100002094636</t>
  </si>
  <si>
    <t>30311</t>
  </si>
  <si>
    <t>代缴社会保险费</t>
  </si>
  <si>
    <t>提前下达2024年重大传染病（精神疾病）防控中央补助经费</t>
  </si>
  <si>
    <t>530400241100002833023</t>
  </si>
  <si>
    <t>提前下达2024年医疗服务与保障能力提升（卫生健康人才培养培训）中央财政补助资金</t>
  </si>
  <si>
    <t>530400241100002853298</t>
  </si>
  <si>
    <t>提前下达2024年重大传染病防控中央补助资金的社会心理服务体系建设专项经费</t>
  </si>
  <si>
    <t>530400241100002865672</t>
  </si>
  <si>
    <t>2024年医疗服务与保障能力提升（公立医院综合改革）中央预算补助（第二批）（精神卫生中心项目）资金</t>
  </si>
  <si>
    <t>530400241100002979939</t>
  </si>
  <si>
    <t>传染病智能监测预警前置软件服务器软硬件环境配置资金</t>
  </si>
  <si>
    <t>530400241100003009779</t>
  </si>
  <si>
    <t>2024年医疗服务与保障能力提升结算补助资金</t>
  </si>
  <si>
    <t>530400241100003239890</t>
  </si>
  <si>
    <t>2024年重大公共卫生服务结算补助资金</t>
  </si>
  <si>
    <t>530400241100003241397</t>
  </si>
  <si>
    <t>2024年重大公共卫生服务结算补助（社会心理服务体系）资金</t>
  </si>
  <si>
    <t>530400241100003321246</t>
  </si>
  <si>
    <t>（第三批）2024年省级科普专项转移支付资金</t>
  </si>
  <si>
    <t>530400241100003338161</t>
  </si>
  <si>
    <t>人才发展省名医培养专项资金</t>
  </si>
  <si>
    <t>530400210000000632834</t>
  </si>
  <si>
    <t>急救中心事业收入专项资金</t>
  </si>
  <si>
    <t>530400221100000203102</t>
  </si>
  <si>
    <t>30204</t>
  </si>
  <si>
    <t>手续费</t>
  </si>
  <si>
    <t>玉溪市急救中心高质量发展示范项目补助资金</t>
  </si>
  <si>
    <t>530400231100002330540</t>
  </si>
  <si>
    <t>（高质量发展三年行动）基层医疗卫生人员技能培训项目经费</t>
  </si>
  <si>
    <t>530400241100003084835</t>
  </si>
  <si>
    <t>玉溪市儿童医院自有资金预算支出专项资金</t>
  </si>
  <si>
    <t>530400221100000273071</t>
  </si>
  <si>
    <t>医疗服务与保障能力提升（公立医院综合改革）中央财政补助资金</t>
  </si>
  <si>
    <t>530400221100000799935</t>
  </si>
  <si>
    <t>31022</t>
  </si>
  <si>
    <t>无形资产购置</t>
  </si>
  <si>
    <t>530400221100000815083</t>
  </si>
  <si>
    <t>2023年基本公共卫生服务项目中央结算补助资金</t>
  </si>
  <si>
    <t>530400231100002051308</t>
  </si>
  <si>
    <t>2023年公立医院改革与高质量发展示范项目补助资金</t>
  </si>
  <si>
    <t>530400231100002332415</t>
  </si>
  <si>
    <t>重大传染病防控中央补助资金</t>
  </si>
  <si>
    <t>530400241100002822933</t>
  </si>
  <si>
    <t>医疗服务与保障能力提升（公立医院综合改革）中央预算补助（第二批）资金</t>
  </si>
  <si>
    <t>530400241100002986334</t>
  </si>
  <si>
    <t>2024年疾控机构医疗服务与保障能力提升（医疗卫生机构能力建设、卫生健康人才培养）补助（第二批）资金</t>
  </si>
  <si>
    <t>530400241100002986523</t>
  </si>
  <si>
    <t>医疗服务与保障能力提升（卫生健康人才培养）结算资金</t>
  </si>
  <si>
    <t>530400241100003200342</t>
  </si>
  <si>
    <t>530400241100003259903</t>
  </si>
  <si>
    <t>530400241100003262817</t>
  </si>
  <si>
    <t>2024年重大公共卫生服务补助资金</t>
  </si>
  <si>
    <t>530400241100003282513</t>
  </si>
  <si>
    <t>2024年医疗服务与保障能力提升（公立医院综合改革）结算补助资金</t>
  </si>
  <si>
    <t>530400241100003285406</t>
  </si>
  <si>
    <t>玉溪市儿童医院“白强”卫生行业专家工作站项目经费</t>
  </si>
  <si>
    <t>530400251100003851117</t>
  </si>
  <si>
    <t>玉溪市公立医院改革与高质量发展示范项目资金</t>
  </si>
  <si>
    <t>530400231100002048942</t>
  </si>
  <si>
    <t>玉溪市中山医院事业支出经费</t>
  </si>
  <si>
    <t>530400241100002073991</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</si>
  <si>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</si>
  <si>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</si>
  <si>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</si>
  <si>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</si>
  <si>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</si>
  <si>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</si>
  <si>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</si>
  <si>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</si>
  <si>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</si>
  <si>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</si>
  <si>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</si>
  <si>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</si>
  <si>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</si>
  <si>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入人口（农村低保对象、农村特困人员、农村易返贫致贫人口、突发严重困难户）家庭医生签约服务个人支付的12元，由省财政和州（市）财政按照《云南省医疗卫生领域财政事叔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約一人、做实一人”。签约家庭医生的农村低收入人口高血压、糖尿病、肺结核、严重精神隐的规范管理率达到90％以上，原则上不对签约数量作要求，有条件的地区，结合实际扩大签约服务重点人群或慢病管理范围。</t>
  </si>
  <si>
    <t>产出指标</t>
  </si>
  <si>
    <t>数量指标</t>
  </si>
  <si>
    <t>脱贫人口高血压患者签约率</t>
  </si>
  <si>
    <t>&gt;=</t>
  </si>
  <si>
    <t>95</t>
  </si>
  <si>
    <t>%</t>
  </si>
  <si>
    <t>定量指标</t>
  </si>
  <si>
    <t>玉溪市</t>
  </si>
  <si>
    <t>已脱贫（贫困人口）受益人数（万人）</t>
  </si>
  <si>
    <t>2.77</t>
  </si>
  <si>
    <t>万人</t>
  </si>
  <si>
    <t>质量指标</t>
  </si>
  <si>
    <t>已签约高血压、糖尿病患者规范管理率</t>
  </si>
  <si>
    <t>90</t>
  </si>
  <si>
    <t>时效指标</t>
  </si>
  <si>
    <t>服务团队考核兑付及时率</t>
  </si>
  <si>
    <t>=</t>
  </si>
  <si>
    <t>100</t>
  </si>
  <si>
    <t>效益指标</t>
  </si>
  <si>
    <t>社会效益</t>
  </si>
  <si>
    <t>已脱贫人口和低收入人群家庭医生签约服务制度知晓率</t>
  </si>
  <si>
    <t>85</t>
  </si>
  <si>
    <t>满意度指标</t>
  </si>
  <si>
    <t>服务对象满意度</t>
  </si>
  <si>
    <t>已脱贫人口和低收入人群家庭医生签约服务满意度</t>
  </si>
  <si>
    <t>目标1：保证所有政府办基层医疗卫生机构实施国家基本药物制度，推进综合改革顺利进行。
目标2：对实施国家基本药物制度的村卫生室给予补助，支持国家基本药物制度在村卫生室顺利实施。</t>
  </si>
  <si>
    <t>政府办基层医疗卫生机构实施基本药物制度覆盖率</t>
  </si>
  <si>
    <t>村卫生室实施基本药物制度覆盖率</t>
  </si>
  <si>
    <t>覆盖乡村医生人数（人）</t>
  </si>
  <si>
    <t>1800</t>
  </si>
  <si>
    <t>人</t>
  </si>
  <si>
    <t>经济效益</t>
  </si>
  <si>
    <t>乡村医生收入</t>
  </si>
  <si>
    <t>保持稳定</t>
  </si>
  <si>
    <t>定性指标</t>
  </si>
  <si>
    <t>可持续影响</t>
  </si>
  <si>
    <t>国家基本药物制度在基层持续实施</t>
  </si>
  <si>
    <t>中长期</t>
  </si>
  <si>
    <t>医共体建设符合“紧密型”“控费用”“同质化”“促分工”发展方向</t>
  </si>
  <si>
    <t>稳步发展</t>
  </si>
  <si>
    <t>对基本药物制度补助满意度</t>
  </si>
  <si>
    <t>80</t>
  </si>
  <si>
    <t>贯彻落实《国务院办公厅关于改革完善全科医生培养与使用激励机制的意见》（国办发（2018）3号）、《国务院办公厅关于加快医学教育创新发展的指导意见》（国办发（2020）34号等文件提出的工作任务，完成2025年本地区卫生健康培训任务。继续培养省属农村订单定向免费医学生6人。按照本科生补助5000元/人补助，夯实毕业生实操能力，毕业生住院医师规范化培训率达到90%以上，促进毕业生落实岗位，岗位落实率达90%以上。促进医疗卫生服务供给效率稳步提高，医疗卫生服务能力不断提升.</t>
  </si>
  <si>
    <t>培养省属在校农村订单定向免费医学生10人</t>
  </si>
  <si>
    <t>反映培养省属在校农村订单定向免费医学生6人的情况</t>
  </si>
  <si>
    <t>农村订单定向免费医学生计划招收完成率</t>
  </si>
  <si>
    <t>反映农村订单定向免费医学生计划招收完成的情况</t>
  </si>
  <si>
    <t>毕业生到基层的就业率</t>
  </si>
  <si>
    <t>反映毕业生到基层的就业情况</t>
  </si>
  <si>
    <t>履约的农村订单定向免费医学生参加住院医师规范化培训情况</t>
  </si>
  <si>
    <t>在校农村订单定向免费医学生满意度</t>
  </si>
  <si>
    <t>反映在校农村订单定向免费医学生满意度的情况</t>
  </si>
  <si>
    <t>按照《医疗事故处理条例》和国家《预防接种异常反应鉴定办法》对2025年发生的医疗纠纷至少60起、预防接种异常反应纠纷至少5起进行及时鉴定，鉴定时间在30天内，有效化解95%以上医患矛盾，2025年医患双访满意度达95%以上。规范建立医共体党组织运行和作用发挥机制，提升党组织引领医疗制度改革的能力。</t>
  </si>
  <si>
    <t>医疗事故技术鉴定</t>
  </si>
  <si>
    <t>60</t>
  </si>
  <si>
    <t>次</t>
  </si>
  <si>
    <t>全年进行医疗事故技术鉴定的次数</t>
  </si>
  <si>
    <t>预防接种异常反应鉴定</t>
  </si>
  <si>
    <t>件</t>
  </si>
  <si>
    <t>全年进行预防接种异常反应鉴定的次数</t>
  </si>
  <si>
    <t>样本检测率</t>
  </si>
  <si>
    <t>反映样本检测率</t>
  </si>
  <si>
    <t>鉴定时间</t>
  </si>
  <si>
    <t>&lt;=</t>
  </si>
  <si>
    <t>30</t>
  </si>
  <si>
    <t>天</t>
  </si>
  <si>
    <t>自收到鉴定申请移交书开始组织医患双方抽取鉴定专家</t>
  </si>
  <si>
    <t>医疗事故化解率</t>
  </si>
  <si>
    <t>指标由进行鉴定后，医患双方对鉴定结果认可度度量，对鉴定结果无异议即为已化解</t>
  </si>
  <si>
    <t>医患双方满意率</t>
  </si>
  <si>
    <t>指标反映进行鉴定后医患双方满意度</t>
  </si>
  <si>
    <t>目标1.实施生育支持项目，健全生育支持体系，切实降低群众抚育成本，有效缓解生育下降趋势，人口结构进一步改善，促进玉溪人口长期均衡发展。
目标2.完成配套支持实施三孩生育政策，促进人口长期均衡发展。即：对2023年1月1日至2025年12月31日新出生并户口登记在玉溪市的二孩、三分别发放2000元、5000元的一次性生育补贴，并按年度发放800元育儿补助；对新出生并登记在玉溪的婴幼儿购买意外伤害险给予每人每年50元的参保补贴。具体为：资格确认准确率98%以上，生育支持项目资金补助准确率100%以上，生养育成本有所降低。
目标3.充分发挥全员人口数据库作为全民健康信息基础数据库的作用，调动基层工作人员积极性，为评估生育政策效果、研判人口形势、推进健康云南建设和完善人口发展战略提供支撑。具体为：全年出生人口率达1.3万人以上，全员人口信息准确率95%以上。</t>
  </si>
  <si>
    <t>常住人口出生率</t>
  </si>
  <si>
    <t>‰</t>
  </si>
  <si>
    <t>此指标用于反映常住人口出生数量情况。</t>
  </si>
  <si>
    <t>项目补助县区数量</t>
  </si>
  <si>
    <t>个</t>
  </si>
  <si>
    <t>此指标用于反映项目资金补助县区数量情况。</t>
  </si>
  <si>
    <t>目标人员发放率</t>
  </si>
  <si>
    <t>1.3</t>
  </si>
  <si>
    <t>此指标用于反映全市出生人口数量情况。</t>
  </si>
  <si>
    <t>资金发放到位率</t>
  </si>
  <si>
    <t>此指标用于反映符项目资金发放情况。</t>
  </si>
  <si>
    <t>符合条件申报对象覆盖率</t>
  </si>
  <si>
    <t>此指标用于反映符合项目申报人员情况。</t>
  </si>
  <si>
    <t>生育支持项目补助资金发放率</t>
  </si>
  <si>
    <t>此指标用于反映项目配套资金资金补助准确率情况。</t>
  </si>
  <si>
    <t>一次性生育补贴发放标准率</t>
  </si>
  <si>
    <t>二孩2000、三孩5000</t>
  </si>
  <si>
    <t>元/人</t>
  </si>
  <si>
    <t>此指标用于反映按照补助标准是否足额发放情况。即：在规定时间内二孩一次性补贴2000，三孩一次性补贴5000元。</t>
  </si>
  <si>
    <t>育儿补助发放标准率</t>
  </si>
  <si>
    <t>800</t>
  </si>
  <si>
    <t>此指标用于反映按照补助标准是否足额发放情况。即：在规定时间内每年补贴800元。</t>
  </si>
  <si>
    <t>家庭发展能力、社会稳定水平</t>
  </si>
  <si>
    <t>逐步提高</t>
  </si>
  <si>
    <t>此指标用于反映社会公众和服务对象家庭发展能力情况。</t>
  </si>
  <si>
    <t>生育支持政策体系</t>
  </si>
  <si>
    <t>初步建立</t>
  </si>
  <si>
    <t>此指标用于反映支持生育政策情况</t>
  </si>
  <si>
    <t>服务满意率</t>
  </si>
  <si>
    <t>该指标用于反映社会公众或服务对象对项目实施效果的满意程度。</t>
  </si>
  <si>
    <t>充分认识到加强健康体检管理工作的重要意义，认真落实国家和省、市有关要求，切实加强健康体检工作的领导，督促健康体检机构进步，提高服务效率。在12月31日前完成2025年从事食品加工、供（管）水、公共场从业人员预防性体检工作及健康证办理工作，及时将体检结果反馈单位和个人，有效减少疾病传播，营造良好的工作环境，减轻企业和个人负担，体检人次预计达到13000人。</t>
  </si>
  <si>
    <t>按要求完成预计体检人数</t>
  </si>
  <si>
    <t>13000</t>
  </si>
  <si>
    <t>完成体检人数。</t>
  </si>
  <si>
    <t>食品加工、供（管）水、公共场从业人员的体检</t>
  </si>
  <si>
    <t>三大类</t>
  </si>
  <si>
    <t>类</t>
  </si>
  <si>
    <t>食品加工、供（管）水、公共场从业人员。</t>
  </si>
  <si>
    <t>体检覆盖率</t>
  </si>
  <si>
    <t>完成体检覆盖率。</t>
  </si>
  <si>
    <t>完成期限</t>
  </si>
  <si>
    <t>2025年12月31日</t>
  </si>
  <si>
    <t>年</t>
  </si>
  <si>
    <t>完成体检时间。</t>
  </si>
  <si>
    <t>保障个人和企业减轻经济负担</t>
  </si>
  <si>
    <t>免费为需要体检的人支付全部检查费用。个人和企业无需再负担。</t>
  </si>
  <si>
    <t>传染病和职业性疾病早发现反馈率</t>
  </si>
  <si>
    <t>发现反馈率=上报反馈给个人和单位的检查人数/实际检查出问题的人数*100%</t>
  </si>
  <si>
    <t>受检人群满意度</t>
  </si>
  <si>
    <t>受检人群满意度=满意人数/抽样人数*100%</t>
  </si>
  <si>
    <t>顺利组织2025年卫生专业技术资格考试、护士执业资格考试、卫生人才评价考试</t>
  </si>
  <si>
    <t>参加考试人数</t>
  </si>
  <si>
    <t>3000</t>
  </si>
  <si>
    <t>反映参加考试考生人数情况</t>
  </si>
  <si>
    <t>安全组织考试</t>
  </si>
  <si>
    <t>无</t>
  </si>
  <si>
    <t>反映“零差错、零失误”的工作目标实现情况</t>
  </si>
  <si>
    <t>按照报名情况组织完成考试工作</t>
  </si>
  <si>
    <t>反映安全组织考试情况</t>
  </si>
  <si>
    <t>卫考、护考、卫生人才评价考试考生满意度</t>
  </si>
  <si>
    <t>反映考生满意度情况</t>
  </si>
  <si>
    <t>安全有序开展考务工作</t>
  </si>
  <si>
    <t>实施生育支持项目，健全生育支持体系，切实降低群众抚育成本，有效缓解生育下降趋势，人口结构进一步改善，促进云南人口长期均衡发展。</t>
  </si>
  <si>
    <t>二孩一次性生育补贴发放标准</t>
  </si>
  <si>
    <t>2000</t>
  </si>
  <si>
    <t>元</t>
  </si>
  <si>
    <t>三孩一次性生育补贴发放标准</t>
  </si>
  <si>
    <t>5000</t>
  </si>
  <si>
    <t>育儿补助发放标准</t>
  </si>
  <si>
    <t>申报审核时限达标率</t>
  </si>
  <si>
    <t>资金发放准确位率</t>
  </si>
  <si>
    <t>生育养育成本</t>
  </si>
  <si>
    <t>有所降低</t>
  </si>
  <si>
    <t>社会稳定水平</t>
  </si>
  <si>
    <t>享受对象满意度</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</si>
  <si>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3.开展对重点疾病及危害因素监测，有效控制疾病流行，为制度相关政策提供依据，保持重点地方病防治措施全面落实。开展职业病监测，最大限度保护放射人员、患者和公众的健康权益。同时推进妇幼卫生、健康素养促进、医养结合和老年健康服务、卫生应急、计划生育等方面工作。</t>
  </si>
  <si>
    <t>适龄儿童国家免疫规划疫苗接种率</t>
  </si>
  <si>
    <t>7岁以下儿童健康管理率</t>
  </si>
  <si>
    <t>0-6岁儿童眼保健和视力检查覆盖率</t>
  </si>
  <si>
    <t>孕产妇系统管理率</t>
  </si>
  <si>
    <t>3岁以下儿童系统管理率</t>
  </si>
  <si>
    <t>老年人中医药健康管理率</t>
  </si>
  <si>
    <t>65</t>
  </si>
  <si>
    <t>肺结核患者管理率</t>
  </si>
  <si>
    <t>社区在册居家严重精神障碍患者健康管理率</t>
  </si>
  <si>
    <t>地方病核心指标监测率</t>
  </si>
  <si>
    <t>儿童中医药健康管理率</t>
  </si>
  <si>
    <t>职业健康核心指标监测县区覆盖率</t>
  </si>
  <si>
    <t>居民规范化电子健康档案覆盖率</t>
  </si>
  <si>
    <t>高血压患者基层规范管理服务率</t>
  </si>
  <si>
    <t>2型糖尿病患者基层规范管理服务率</t>
  </si>
  <si>
    <t>65岁以上老年人城乡社区规范健康管理服务率</t>
  </si>
  <si>
    <t>食品安全风险监测任务数据及时上报率</t>
  </si>
  <si>
    <t>传染病和突发公共卫生时间报告率</t>
  </si>
  <si>
    <t>中国成人烟草流行调查应答率</t>
  </si>
  <si>
    <t>75</t>
  </si>
  <si>
    <t>监测点（县/区）门急诊伤害监测漏报率</t>
  </si>
  <si>
    <t>城乡居民公共卫生差距</t>
  </si>
  <si>
    <t>不断缩小</t>
  </si>
  <si>
    <t>居民健康素养水平</t>
  </si>
  <si>
    <t>不断提高</t>
  </si>
  <si>
    <t>基本公共卫生服务水平</t>
  </si>
  <si>
    <t>城乡居民对基本公共卫生服务满意度</t>
  </si>
  <si>
    <t>较上年提高</t>
  </si>
  <si>
    <t>99</t>
  </si>
  <si>
    <t>&gt;</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</si>
  <si>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</si>
  <si>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5岁以下儿童死亡率</t>
  </si>
  <si>
    <t>5.5</t>
  </si>
  <si>
    <t>62</t>
  </si>
  <si>
    <t>健康生活方式和行为速杨</t>
  </si>
  <si>
    <t>传染病和突发公共卫生事件报告率</t>
  </si>
  <si>
    <t>公共卫生服务水平</t>
  </si>
  <si>
    <t>持续提高</t>
  </si>
  <si>
    <t>购买玉溪市严重精神障碍患者伤害他人人身伤害无记名保险，保障2025年度所有被在册精神患者伤害的人100%得到相关赔偿，严密监测患者服药情况，确保患者规律服药率达80%以上，按时统计病人情况，保障严重精神障碍患者规范管理率达90%以上，保障市民安全，推进严重精神障碍患者管理的健全。</t>
  </si>
  <si>
    <t>在册患者受害人受偿率</t>
  </si>
  <si>
    <t>保障所有受到在册精神患者伤害的人在保险责任范围内都能得到保险公司相应赔偿。</t>
  </si>
  <si>
    <t>严重精神障碍患者规范管理率</t>
  </si>
  <si>
    <t>规范管理率（%）=规范管理人数/在册患者人数×100%。</t>
  </si>
  <si>
    <t>玉溪市辖区内居民或流动人口覆盖率</t>
  </si>
  <si>
    <t>在保险期内，玉溪市居民或流动人口在承保区域内，遭受精神精神病人伤害导致人身伤亡或财产损失，无法找到责任人或责任人无力赔偿，对被保险人依据国家或地方有关法律规定以及本保险给付的一次性伤亡救助金、财产损失补偿金以及支付的医疗费用，保险人按照本保险协议的约定负责赔偿。</t>
  </si>
  <si>
    <t>赔付响应及时率</t>
  </si>
  <si>
    <t>被保险人提供完整必要的索赔材料，经市卫生健康委认定后提交保险公司，保险公司按协议启动理赔程序。</t>
  </si>
  <si>
    <t>报告患病率</t>
  </si>
  <si>
    <t>4..5</t>
  </si>
  <si>
    <t>报告患病率（‰）＝在册患者人数/辖区内常住人口数×1000‰。</t>
  </si>
  <si>
    <t>患者及家属满意度</t>
  </si>
  <si>
    <t>患者及家属满意度=满意人数/抽样人数*100%</t>
  </si>
  <si>
    <t>力求通过计划生育手术减免，健康知识宣传、防癌知识普及和开展宫颈癌检查等方式，有效减少意外妊娠和提升全市广大育龄妇女宫颈癌早查早诊早治率，提高广大适龄育龄妇女健康水平和医疗卫生机构的服务能力，维护育龄妇女生育生殖健康，保障妇女生命健康。2025年完成9000名儿童龋齿筛查、14950名儿童眼视力筛查、9100名妇女（宫颈癌）筛查、6700名妇女（乳腺癌）筛查；完成10850对以上孕前优生健康检查任务，以县为单位适龄妇女宫颈癌和乳腺癌覆盖率≥90%。</t>
  </si>
  <si>
    <t>完成7739名妇女常见病筛查</t>
  </si>
  <si>
    <t>9100</t>
  </si>
  <si>
    <t>完成9100名妇女(宫颈癌)筛查</t>
  </si>
  <si>
    <t>实施国家免费孕前优生健康检查</t>
  </si>
  <si>
    <t>10850</t>
  </si>
  <si>
    <t>对</t>
  </si>
  <si>
    <t>完成10850对国家免费孕前优生健康检查</t>
  </si>
  <si>
    <t>6700</t>
  </si>
  <si>
    <t>完成6700名妇女(乳腺癌)筛查</t>
  </si>
  <si>
    <t>9000</t>
  </si>
  <si>
    <t>完成9000名儿童龋齿筛查</t>
  </si>
  <si>
    <t>完成14950名儿童眼视力筛查</t>
  </si>
  <si>
    <t>14950</t>
  </si>
  <si>
    <t>以县为单位乳腺癌和宫颈癌筛查率</t>
  </si>
  <si>
    <t>反应孕产妇系统管理率=孕产妇建档管理数/孕产妇数*100</t>
  </si>
  <si>
    <t>孕前优生健康检查率</t>
  </si>
  <si>
    <t>反应孕前优生健康检查率=孕产妇孕前优生健康检查数/孕产妇数*100</t>
  </si>
  <si>
    <t>反应0-6岁儿童眼保健和视力检查覆盖率=0-6岁儿童眼保健和视力检查覆盖数/0-6岁儿童数*100</t>
  </si>
  <si>
    <t>0-6岁儿童龋齿防控任务数完成率</t>
  </si>
  <si>
    <t>反应0-6岁儿童龋齿防控任务数完成率=0-6岁儿童龋齿防控数/0-6岁儿童龋齿防控任务数数*100</t>
  </si>
  <si>
    <t>项目完成及时率</t>
  </si>
  <si>
    <t>项目进度及时完成，项目完成及时率达到90%及以上。</t>
  </si>
  <si>
    <t>保障提高人口素质</t>
  </si>
  <si>
    <t>反应提高人口素质，保障妇女儿童健康</t>
  </si>
  <si>
    <t>保障保障妇女儿童健康。</t>
  </si>
  <si>
    <t>居民满意度</t>
  </si>
  <si>
    <t>居民获得感 、幸福感提高</t>
  </si>
  <si>
    <t>市级基层卫生保障资金包括乡村医生市级补助资金、国家基本公共卫生服务项目市级补助资金、重点对象家庭医生签约服务费市级补助和村卫生室建设市级补助资金。预期效果：实现乡村医生满意度≧80%的要求。促进居民健康意识的提高和不良生活方式的改变。村卫生室建筑面积60平方米以上，大力改善村民看病就医的条件。重点对象家庭医生签约服务是巩固拓展健康扶贫成果同乡村振兴有效衔接，是建立巩固脱贫攻坚成果长效机制的举措之一。
目标1.做好年度乡村医生补助工作，经费按标准及时下达，做到专款专用，确保无拖欠挪用情况发生。2.面向全体居民免费提供基本公共卫生服务，促进基本公共卫生服务逐步均等化。.将0-6岁儿童、孕产妇、65岁及以上老年人、高血压和糖尿病患者、重性精神疾病患者、结核病患者列为重点人群，按照《国家基本公共卫生服务规范》开展针对性的健康管理服务，具体服务包括：城乡居民健康档案管理服务、健康教育服务、预防接种服务、0-6岁儿童健康管理服务、孕产妇健康管理服务。为辖区内居住的孕产妇提供健康管理服务、老年人健康管理服务、慢性病患者健康管理服务、重性精神病患者健康管理服务。3.家庭医生签约服务以已脱贫人口、农村低收入人口、困难产业工人、持证残疾人、计划生育特殊家庭、孕产妇、0-6岁儿童、老年人等重点人群，以及高血压、2型糖尿病、肺结核病、严重精神障碍等重点疾病患者为重点。坚持统筹兼顾、分片负责，以网格化健康管理为抓手，探索责任到人的网格化健康管理服务体系，强化县乡村联动，强化专业公共卫生机构、基层医疗卫生机构和医院联动，以规范落实服务内容为主线，创新慢性病医防协同机制，签约服务与基本公共卫生服务同步推进。对标对表，以“强基层，惠群众”为标准，县、乡、村明确专人，定期汇总分析和监督评价，紧盯履约薄弱环节，紧盯影响履约工作质量和成色的问题，盯牢重点环节和履约滞后的签约服务团队，加强督促检查和指导力度，规范抓好履约工作，服务内容做到月清季结，完善履约记录，稳步推进履约工作。4.完成年度村卫生室建设任务，完成至少20个村卫生室改扩建任务，确保改造的村卫生室建筑面积60平方米以上，至少设有诊断室、治疗室、公共卫生室和药房，村卫生室建设达标率100%。</t>
  </si>
  <si>
    <t>按标准下达2024年在岗乡村医生补助人数</t>
  </si>
  <si>
    <t>1837</t>
  </si>
  <si>
    <t>2025年在岗乡村医生补助人数≦1837人</t>
  </si>
  <si>
    <t>按标准下达2023年按年龄政策退出岗位乡村医生补助人数</t>
  </si>
  <si>
    <t>662</t>
  </si>
  <si>
    <t>2025年按年龄政策退出岗位乡村医生补助人数≦662人</t>
  </si>
  <si>
    <t>村卫生室建筑面积</t>
  </si>
  <si>
    <t>平方米</t>
  </si>
  <si>
    <t>反映村卫生室建筑面积</t>
  </si>
  <si>
    <t>补助县区数量</t>
  </si>
  <si>
    <t>反映补助县区数量</t>
  </si>
  <si>
    <t>孕产妇系统管理率≧90%</t>
  </si>
  <si>
    <t>7岁以下儿童健康管理率 ≧90%</t>
  </si>
  <si>
    <t>各项补助下达各县（市、区）完成率</t>
  </si>
  <si>
    <t>村卫生室、村医各项补助及时下达各县市区</t>
  </si>
  <si>
    <t>反映适龄儿童国家免疫规划疫苗接种率</t>
  </si>
  <si>
    <t>签约人员履约率</t>
  </si>
  <si>
    <t>反映签约人员履约情况</t>
  </si>
  <si>
    <t>乡村医生满意度</t>
  </si>
  <si>
    <t>乡村医生满意度≧80%</t>
  </si>
  <si>
    <t>通过“以奖代补”等办法促进患者监护人切实履行监护责任，确保严重精神障碍患者规范管理率达到90%以上，保障重精病人报告患病率4.5‰以上，做到应报尽报，规律服药率达80%以上，有效控制病情，切实防止严重精神障碍患者肇事肇祸案(事)件发生。2025年对1190人进行“以奖代补”的监护人发放资金（家庭监护人（2.5元/人/天），指定监护人（5元/人/天）），做到及时到位率100%、无拖欠、无挪用。建立健全政府、社会、家庭“三位一体”关怀帮扶体系，为严重精神障碍患者提供治疗康复服务和人文关怀。</t>
  </si>
  <si>
    <t>资金到位率</t>
  </si>
  <si>
    <t>居家患者病情稳定率</t>
  </si>
  <si>
    <t>70</t>
  </si>
  <si>
    <t>居家患者病情稳定率（%）=本年1月1日零时至本月最后一日24时3个月内最后一次随访时病情稳定的患者人数/居家患者人数×100%。</t>
  </si>
  <si>
    <t>规律服药率</t>
  </si>
  <si>
    <t>在册患者规律服药率（%）=规律服药患者人数/在册患者人数×100%。</t>
  </si>
  <si>
    <t>报销及时性</t>
  </si>
  <si>
    <t>及时按规定时限完成报销。</t>
  </si>
  <si>
    <t>4.5</t>
  </si>
  <si>
    <t>特定项目社20250204专项经费</t>
  </si>
  <si>
    <t>1.00</t>
  </si>
  <si>
    <t>套/台</t>
  </si>
  <si>
    <t>2.00</t>
  </si>
  <si>
    <t>套</t>
  </si>
  <si>
    <t>按照国家、省要求组织2025年度医师资格考试医学综合考试一试和二试，考前做好考试环境、考试系统测试，考中严格执考，考试认真收尾。为考生提供规范的考试环境，提升我是医师资格考试通过率，增加我市医师数量。</t>
  </si>
  <si>
    <t>组织2场次考试</t>
  </si>
  <si>
    <t>按照国家、省要求，组织医师资格考试医学综合考试一试和二试工作。</t>
  </si>
  <si>
    <t>在规定时间内组织考试</t>
  </si>
  <si>
    <t>按照规定时间组织考试</t>
  </si>
  <si>
    <t>及时</t>
  </si>
  <si>
    <t>按照国家统一安排，在2025年8月和11月组织考试。</t>
  </si>
  <si>
    <t>增加医师数量</t>
  </si>
  <si>
    <t>医师数量较上一年增加</t>
  </si>
  <si>
    <t>上升</t>
  </si>
  <si>
    <t>医师数量较上一年增加。</t>
  </si>
  <si>
    <t>考生满意度</t>
  </si>
  <si>
    <t>考点组织考试，为考生提供规范的考试环境，考生对考试考务工作满意度高。</t>
  </si>
  <si>
    <t>考务人员满意度</t>
  </si>
  <si>
    <t>考务人员满意</t>
  </si>
  <si>
    <t>达标</t>
  </si>
  <si>
    <t>做好考务服务和考后的相关费用支付工作。</t>
  </si>
  <si>
    <t>根据2022年项目评审情况，在2023年按时兑现玉溪市“百人计划”刚性引进人才及刚性引进人才部门工作经费，并对经费管理使用做好监督管理。培养选拔，给予20名“兴玉名医”入选者一次性5万元生活补助;8个“行业专家工作站”一次性10万元建站补助;引进高层次医学团队2个，分别为B类一个、D类一个，2023年（第一年）预计支付资金72万元;国家临床重点专科建设项目1个，补助资金100万元。促进产学研相结合和经济社会事业发展，提高全市医疗服务能力。</t>
  </si>
  <si>
    <t>“兴玉名医”奖励人数</t>
  </si>
  <si>
    <t>可以享受奖励的人数</t>
  </si>
  <si>
    <t>行业专家工作站奖励个数</t>
  </si>
  <si>
    <t>可以享受奖励的站点</t>
  </si>
  <si>
    <t>奖补标准考核达标率</t>
  </si>
  <si>
    <t>反映考核达标率</t>
  </si>
  <si>
    <t>保障促进产学研相结合和经济社会事业发展</t>
  </si>
  <si>
    <t>评选兴玉名医后医院的的教学研究情况</t>
  </si>
  <si>
    <t>奖励对象满意度</t>
  </si>
  <si>
    <t>获得奖励的人才对评选的满意程度</t>
  </si>
  <si>
    <t>实施计划生育家庭奖励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</si>
  <si>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</si>
  <si>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540</t>
  </si>
  <si>
    <t>扶助独生子女死亡家庭人数</t>
  </si>
  <si>
    <t>1237</t>
  </si>
  <si>
    <t>扶助计划生育手术并发症一级二级三级人数</t>
  </si>
  <si>
    <t>923</t>
  </si>
  <si>
    <t>农村部分计划生育家庭奖励扶助人数</t>
  </si>
  <si>
    <t>11439</t>
  </si>
  <si>
    <t>申报审核时限覆盖率</t>
  </si>
  <si>
    <t>家庭发展能力</t>
  </si>
  <si>
    <t>奖励扶助对象满意度</t>
  </si>
  <si>
    <t>目标1.实施计划生育家庭奖励扶助制度，缓解计划生育困难家庭在生产、生活、医疗和养老等方面的特殊困难，改善计划生育家庭生产生活状况，引导和帮助计划生育家庭发展生产，保障和改善民生，促进社会和谐稳定。具体为:计划生育家庭各项扶补项目资金，发放率达98%以上，服务对象满意度达85%以上。
目标2.一是各县（市、区）建立健全流动人口管理机构，加强队伍建设，配齐配强专职人员，创新用人机制，推行流动人口协管员聘用制度和岗位责任制度，明确职责，依法管理；二是经费及时足额配套到位，并足额发放到人，做到专款专用，无拖欠挪用情况发生；三是加强计划生育协管员管理，确保各项目标工作任务的完成。具体为：全市计划生育家庭优质服务率达85%以上，流动人口均等化试点服务率达90%以上，显著提高全市人口监测与家庭发展工作服务水平。</t>
  </si>
  <si>
    <t>此指标用于反映目标人员补助县区数量情况。</t>
  </si>
  <si>
    <t>计划生育特别扶助（伤残、死亡）金目标人员发放人数</t>
  </si>
  <si>
    <t>2258</t>
  </si>
  <si>
    <t>此指标用于反映全市符合享受奖励扶助项目资金人员发放数量情况。</t>
  </si>
  <si>
    <t>失独家庭一次性抚慰金目标人员发放人数</t>
  </si>
  <si>
    <t>74</t>
  </si>
  <si>
    <t>独生子女“保健费”目标人员发放人数</t>
  </si>
  <si>
    <t>6322</t>
  </si>
  <si>
    <t>城镇居民“养老扶助金”目标人员发放人数</t>
  </si>
  <si>
    <t>2033</t>
  </si>
  <si>
    <t>城乡居民医疗保险金目标人员发放人数</t>
  </si>
  <si>
    <t>85422</t>
  </si>
  <si>
    <t>此指标用于反映全市符合享受奖励扶助项目资金人员发放数量情况</t>
  </si>
  <si>
    <t>独生子女家庭“奖学金”目标人员发放人数</t>
  </si>
  <si>
    <t>6155</t>
  </si>
  <si>
    <t>聘用协管员</t>
  </si>
  <si>
    <t>此指标用于反映项目聘用计划生育协管员人员数量情况。</t>
  </si>
  <si>
    <t>奖励扶助补助准确率</t>
  </si>
  <si>
    <t>此指标用于反映全市符合享受补助人员发放符合标准情况。</t>
  </si>
  <si>
    <t>协管员工资补助标准率</t>
  </si>
  <si>
    <t>此指标用于反映补助资金发放符合标准情况。</t>
  </si>
  <si>
    <t>此指标用于反映全市符合享受补助人员资金发放情况</t>
  </si>
  <si>
    <t>保障提高全市流动人口计划生育工作管理水平</t>
  </si>
  <si>
    <t>此指标用于反映完成协管员职责内的各项目标工作任务情况。</t>
  </si>
  <si>
    <t>家庭发展能力逐步提高</t>
  </si>
  <si>
    <t>明显提高</t>
  </si>
  <si>
    <t>此指标用于反映社会公众或服务对象家庭发展能力情况</t>
  </si>
  <si>
    <t>根据2022年项目评审情况，在2023年按时兑现玉溪市“百人计划”刚性引进人才及刚性引进人才部门工作经费，并对经费管理使用做好监督管理。培养选拔，给予8个“行业专家工作站”一次性10万元建站补（其中县区级5个）。促进产学研相结合和经济社会事业发展，提高全市医疗服务能力。</t>
  </si>
  <si>
    <t>卫生专家工作站的可持续影响</t>
  </si>
  <si>
    <t>卫生专家工作站的可持续影响力</t>
  </si>
  <si>
    <t>完成配套支持实施三孩生育政策，促进人口长期均衡发展。对新出生并登记在玉溪的婴幼儿购买意外伤害险给予每人每年50元的参保补贴。</t>
  </si>
  <si>
    <t>全市常住人口出生率</t>
  </si>
  <si>
    <t>全年出生人口</t>
  </si>
  <si>
    <t>此指标用于反映项目资金补助情况。</t>
  </si>
  <si>
    <t>符合条件补助对象覆盖率</t>
  </si>
  <si>
    <t>此指标用于反映符合项目补助人员情况。</t>
  </si>
  <si>
    <t>婴幼儿保险补助标准</t>
  </si>
  <si>
    <t>50</t>
  </si>
  <si>
    <t>此指标用于反映按照补助标准是否足额发放情况。</t>
  </si>
  <si>
    <t>，此指标用于反映社会公众或服务对象家庭发展能力情况。</t>
  </si>
  <si>
    <t>此指标用于反映社会稳定情况。</t>
  </si>
  <si>
    <t>此指标用于反映生育政策情况。</t>
  </si>
  <si>
    <t>扶助对象满意度</t>
  </si>
  <si>
    <t>此指标用于反映服务目标人员满意程度情况。</t>
  </si>
  <si>
    <t>目标1：实施农村计划生育家庭奖励扶助制度，解决农村独生子女家庭的养老问题，提高家庭发展能力。
目标2：实施西部地区少生快富工程，改善计划生育家庭生产生活状况，引导和帮助计划生育家庭发展生产，促进西部地区人口均衡发展；
目标3：实施计划生育家庭特别扶助制度，缓解计划生育困难家庭在生产、生活、医疗和养老等方面的特殊困难，保障和改善民生，促进社会和谐稳定。</t>
  </si>
  <si>
    <t>2025年1月1日-2025年12月31日期间，开展对具有玉溪市居民且接种当日年龄在9—30周岁（在重点保障初一年级在校适种人群基础上提倡其他适种人员积极参加预防接种）、身体健康、无接种禁忌、既往无HPV疫苗接种史的女性人群中开展，2025年对11797名初一女生通过市县财政资金补助实行免费接种。</t>
  </si>
  <si>
    <t>接种人数</t>
  </si>
  <si>
    <t>反映接种情况</t>
  </si>
  <si>
    <t>培训次数</t>
  </si>
  <si>
    <t>反映培训次数情况</t>
  </si>
  <si>
    <t>初一年级女生接种完成率</t>
  </si>
  <si>
    <t>反映初一年级女生接种完成率。</t>
  </si>
  <si>
    <t>参加培训人数</t>
  </si>
  <si>
    <t>150</t>
  </si>
  <si>
    <t>反映参加培训人数情况</t>
  </si>
  <si>
    <t>培训覆盖率</t>
  </si>
  <si>
    <t>反映培训覆盖率情况</t>
  </si>
  <si>
    <t>HPV疫苗相关知识宣传内容知晓率</t>
  </si>
  <si>
    <t>反映HPV疫苗相关知识宣传内容知晓率情况</t>
  </si>
  <si>
    <t>受种者疫苗接种满意度</t>
  </si>
  <si>
    <t>反映受种者疫苗接种满意度</t>
  </si>
  <si>
    <t xml:space="preserve">据《2021年玉溪市深化医药卫生体制改革领导小组（扩大）会议纪要》（玉溪市深化医药卫生体制改革领导小组会议纪要〔2022〕第1期），为改革完善疾病预防控制体系，推进构建一体化“大疾控”，支持疾控机构有偿提供实验室检验检测等公共卫生社会化服务，通过收入弥补日常工作运转资金需要。
</t>
  </si>
  <si>
    <t>采购试剂耗材</t>
  </si>
  <si>
    <t xml:space="preserve">采购试剂耗材1 批次及以上
</t>
  </si>
  <si>
    <t>试剂耗材验收合格率</t>
  </si>
  <si>
    <t>95.00</t>
  </si>
  <si>
    <t>公共卫生服务能力</t>
  </si>
  <si>
    <t>提升</t>
  </si>
  <si>
    <t>公共卫生服务能力提升</t>
  </si>
  <si>
    <t xml:space="preserve">服务对象满意度达到80%及以上
</t>
  </si>
  <si>
    <t>1.婚前、孕产妇检测率均≥95%;2.孕期检测率≥90%;3.艾滋病病毒感染孕产妇所生儿童早期诊断检测覆盖率≥95%，HIV抗体检测率≥95%;4.孕产妇梅毒治疗率≥90%，规范治疗率≥80%, 所生儿童预防性治疗率≥90%;5.乙肝感染的孕产妇所生新生儿接受乙肝免疫球蛋白注射的比例≥95%;6.艾滋病母婴传播率控制在2.5%以下。7、乙肝母婴传播率&lt;2%.8、先天梅毒年报告发病率降至18/10万活产数以下。9．预防艾滋病、梅毒和乙肝母婴传播信息管理网络上报及时率≥95%。10、最大程度地减少疾病的母婴传播，降低艾滋病、梅毒和乙肝对妇女儿童的影响，进一步改善妇女儿童生活质量及健康水平。</t>
  </si>
  <si>
    <t>技术指导两次</t>
  </si>
  <si>
    <t>每年技术指导两次</t>
  </si>
  <si>
    <t>孕产妇检测95%</t>
  </si>
  <si>
    <t>孕产妇检测大于95</t>
  </si>
  <si>
    <t>艾滋病母婴传播率控制在2%以下</t>
  </si>
  <si>
    <t>&lt;</t>
  </si>
  <si>
    <t>居民健康意识提高，改变不良生活方式</t>
  </si>
  <si>
    <t>效果明显</t>
  </si>
  <si>
    <t>服务对象满意度80%以上</t>
  </si>
  <si>
    <t>做好本单位业务活动经费，按规定落实业务活动收入、支出，支持部门正常履职。</t>
  </si>
  <si>
    <t>公用经费保障物业管理面积</t>
  </si>
  <si>
    <t>0</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</si>
  <si>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</si>
  <si>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</si>
  <si>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</si>
  <si>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</si>
  <si>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部门运转</t>
  </si>
  <si>
    <t>正常运转</t>
  </si>
  <si>
    <t>反映部门（单位）正常运转情况。</t>
  </si>
  <si>
    <t>社会公众满意度</t>
  </si>
  <si>
    <t>反映社会公众对部门（单位）履职情况的满意程度。</t>
  </si>
  <si>
    <t>单位人员满意度</t>
  </si>
  <si>
    <t>反映部门（单位）人员对公用经费保障的满意程度。</t>
  </si>
  <si>
    <t>项目涉密，文件资料不公开。</t>
  </si>
  <si>
    <t>督导公共场所</t>
  </si>
  <si>
    <t>12月31日前完成</t>
  </si>
  <si>
    <t>12月31日前完成。</t>
  </si>
  <si>
    <t>有效控制艾滋病疫情</t>
  </si>
  <si>
    <t>疫情处于低流行水平</t>
  </si>
  <si>
    <t>人民群众满意度</t>
  </si>
  <si>
    <t>基本完成对智能仓储的项目建设和工程验收，并尝试投入使用。</t>
  </si>
  <si>
    <t>购置设备数量</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</si>
  <si>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</si>
  <si>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</si>
  <si>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</si>
  <si>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</si>
  <si>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</si>
  <si>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</si>
  <si>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设备采购经济性</t>
  </si>
  <si>
    <t>260</t>
  </si>
  <si>
    <t>万元</t>
  </si>
  <si>
    <t>反映设备采购成本低于计划数所获得的经济效益。</t>
  </si>
  <si>
    <t>使用人员满意度</t>
  </si>
  <si>
    <t>反映服务对象对购置设备的整体满意情况。
使用人员满意度=（对购置设备满意的人数/问卷调查人数）*100%。</t>
  </si>
  <si>
    <t>特定项目社2025030</t>
  </si>
  <si>
    <t>室间质评通过率</t>
  </si>
  <si>
    <t>嗜T淋巴细胞病毒监测</t>
  </si>
  <si>
    <t>2500</t>
  </si>
  <si>
    <t>份</t>
  </si>
  <si>
    <t>固定献血者比例</t>
  </si>
  <si>
    <t>27</t>
  </si>
  <si>
    <t>核酸检测覆盖率</t>
  </si>
  <si>
    <t>无偿献血率</t>
  </si>
  <si>
    <t>千人口献血率</t>
  </si>
  <si>
    <t>检测报告准确率</t>
  </si>
  <si>
    <t>辖区内临床用血保障率</t>
  </si>
  <si>
    <t>做好本部门人员、业务经费保障，按规定开展采供血业务工作，支持部门正常运转。</t>
  </si>
  <si>
    <t>采血人次</t>
  </si>
  <si>
    <t>23000</t>
  </si>
  <si>
    <t>人次</t>
  </si>
  <si>
    <t>反映年招募采血能力。</t>
  </si>
  <si>
    <t>人类嗜 T 淋巴细胞病毒监测</t>
  </si>
  <si>
    <t>反映血站完成人类嗜 T 淋巴细胞病毒监测任务情况。</t>
  </si>
  <si>
    <t>反映血站招募无偿献血人员来源。</t>
  </si>
  <si>
    <t>反映玉溪市民参与加无偿献血活动情况，也反映血站招募能力。</t>
  </si>
  <si>
    <t>反映固定参加无偿献血人员</t>
  </si>
  <si>
    <t>反映血站核酸检测覆盖情况。</t>
  </si>
  <si>
    <t>反映血站实验室检测质量，对社会的影响情况。</t>
  </si>
  <si>
    <t>反映血站的供血保障能力 。</t>
  </si>
  <si>
    <t>献血者满意度</t>
  </si>
  <si>
    <t>反映献血员对血站工作服务的评价。</t>
  </si>
  <si>
    <t>1.王小啟专家工作站：在进站专家的指导下，计划发表学术论文2篇，争取能够进行专著撰写；主持申报省级重点项目课题1项、市级课题2项，指导本学科人员申请并开展各级科研课题2-3项；3-4名团队成员完成高一级职称晋升；开展新技术新业务2项，提高科室业务收入增长。
2.药物/疫苗和医疗器械临床评价体系建设团队：通过引进专家团队，完成业务培训2次，业务指导10次，完成外出培训10人次，提升学术能力，培养技术骨干。
3.玉溪市人民医院心内科国家临床重点专科：继教开展新业务新技术、加强人才培养，选派1-2名医生到省外进修，外派10余名医护人员参加各类学术会议；完成4项省级重点项目，1项国家自然基金项目，4项市级项目，继教申报新的省级以上项目，提升科研能力和服务能力。</t>
  </si>
  <si>
    <t>组织培训期数</t>
  </si>
  <si>
    <t>反映预算部门（单位）组织开展各类培训的期数。</t>
  </si>
  <si>
    <t>培训参加人次</t>
  </si>
  <si>
    <t>200</t>
  </si>
  <si>
    <t>反映预算部门（单位）组织开展各类培训的人次。</t>
  </si>
  <si>
    <t>业务指导次数</t>
  </si>
  <si>
    <t>反应专家来院进行业务指导次数。</t>
  </si>
  <si>
    <t>培训出勤率</t>
  </si>
  <si>
    <t>反映预算部门（单位）组织开展各类培训中参训人员的出勤情况。
培训出勤率=（实际出勤学员数量/参加培训学员数量）*100%。</t>
  </si>
  <si>
    <t>设备部署及时率</t>
  </si>
  <si>
    <t>反映新购设备按时部署情况。
设备部署及时率=（及时部署设备数量/新购设备总数）*100%。</t>
  </si>
  <si>
    <t>提升心血管疾病专业医疗水平</t>
  </si>
  <si>
    <t>反应项目实施是否使我院心血管疾病专业医疗水平得到提升。</t>
  </si>
  <si>
    <t>患者满意度</t>
  </si>
  <si>
    <t>反映受益对象的满意程度，指标值为相对值指标（百分比），指标等于抽样满意达标人数/抽样总人数。</t>
  </si>
  <si>
    <t>保障医院正常运转，保证患者正常就医。</t>
  </si>
  <si>
    <t>门诊人次</t>
  </si>
  <si>
    <t>148</t>
  </si>
  <si>
    <t>万人次</t>
  </si>
  <si>
    <t>门诊就诊人次</t>
  </si>
  <si>
    <t>住院人次</t>
  </si>
  <si>
    <t>9.7</t>
  </si>
  <si>
    <t>出院人次</t>
  </si>
  <si>
    <t>资产负债率</t>
  </si>
  <si>
    <t>资产负债率=负债总额/资产总额*100%</t>
  </si>
  <si>
    <t>2024年收入较2023年增长</t>
  </si>
  <si>
    <t>收支结余=收入-支出</t>
  </si>
  <si>
    <t>建立专家工作站，开展专家工作站活动；建立高层次医学团队，根据医院发展开展科学研究，人才培养工作。</t>
  </si>
  <si>
    <t>建立专家工作站数量</t>
  </si>
  <si>
    <t>用于反映建立专家工作站的数量</t>
  </si>
  <si>
    <t>高层次医疗团队数量</t>
  </si>
  <si>
    <t>用于反映建立高层次医疗团队的数量</t>
  </si>
  <si>
    <t>人才培养合格率</t>
  </si>
  <si>
    <t>用于反映上级开展的考核，考核合格率。考核合格率=考核通过人数/应参加考核人数*100%</t>
  </si>
  <si>
    <t>服务患者人数</t>
  </si>
  <si>
    <t>用于反映服务患者的人数</t>
  </si>
  <si>
    <t>用于反映患者满意度</t>
  </si>
  <si>
    <t>1.持续加强医院设备投入，逐步推进几大中心建设，加强完善设施设备，根据业务发展情况，每年至少投入资金2000万元以上。
2.力求实现中医特色明显，医疗水平、管理水平、服务水平一流，医院环境优越。
3.以人为本，患者满意度极大提升。
4.医院文化管理形成，职工自豪感幸福感强，队伍稳定。</t>
  </si>
  <si>
    <t>设备验收合格率</t>
  </si>
  <si>
    <t>用于反映和考核项目产出质量目标的实现程度。</t>
  </si>
  <si>
    <t>促进中医药事业发展</t>
  </si>
  <si>
    <t>促进</t>
  </si>
  <si>
    <t>用于反映项目实施对社会发展所带来的直接或间接影响情况。</t>
  </si>
  <si>
    <t>职工满意度</t>
  </si>
  <si>
    <t>用于反映社会公众或服务对象对该项目实施的满意程度。</t>
  </si>
  <si>
    <t>医疗业务收入经费</t>
  </si>
  <si>
    <t>192765</t>
  </si>
  <si>
    <t>公立医院绩效考核评分标准</t>
  </si>
  <si>
    <t>11180</t>
  </si>
  <si>
    <t>医疗服务收入占比</t>
  </si>
  <si>
    <t>2.8</t>
  </si>
  <si>
    <t>医疗服务收入占医疗收入比例</t>
  </si>
  <si>
    <t>技术解决精神多发疑难危重病能力覆盖率</t>
  </si>
  <si>
    <t>住院患者满意度</t>
  </si>
  <si>
    <t>92</t>
  </si>
  <si>
    <t>门诊就诊满意度</t>
  </si>
  <si>
    <t>88</t>
  </si>
  <si>
    <t>按照政府“保工资—保运转—保基本民生—保项目性民生—保债务还本付息—促发展”的顺序编制安排预算资金，在财政拨款不足情况下，通过院前急救服务工作经费补足日常工作所需，提高资金使用效益，更好地为玉溪市民服务。2023年实现120统一调度覆盖率达100%，急救网络医院及急救站点全市覆盖率达80%以上，危急重症患者抢救成功率达80%以上，中心患者救护率达100%。较大地提升紧急医疗救援移动指挥调度能力水平，促进全市院前急救服务能力提升。</t>
  </si>
  <si>
    <t>参加医疗服务保障人数</t>
  </si>
  <si>
    <t>参加政府安排的指令性服务保障人数</t>
  </si>
  <si>
    <t>患者救治人数</t>
  </si>
  <si>
    <t>7000</t>
  </si>
  <si>
    <t>院前急救的患者人数</t>
  </si>
  <si>
    <t>出诊时间</t>
  </si>
  <si>
    <t>分钟</t>
  </si>
  <si>
    <t>院前急救医疗小组出诊时间</t>
  </si>
  <si>
    <t>用款计划</t>
  </si>
  <si>
    <t>月</t>
  </si>
  <si>
    <t>该项目经费使用计划</t>
  </si>
  <si>
    <t>患者救护率</t>
  </si>
  <si>
    <t>对患者的救护比例</t>
  </si>
  <si>
    <t>应急处突率</t>
  </si>
  <si>
    <t>参与应急处理突发事件的比例</t>
  </si>
  <si>
    <t>患者抢救率</t>
  </si>
  <si>
    <t>抢救患者的比例</t>
  </si>
  <si>
    <t>120院前急救统一调度覆盖率</t>
  </si>
  <si>
    <t>实现全市、县、乡三级统一调度并联网</t>
  </si>
  <si>
    <t>急救网络医院及站点覆盖率</t>
  </si>
  <si>
    <t>在全市建立网络医院及急救站点，逐年增加，最终实现100%全覆盖</t>
  </si>
  <si>
    <t>受益对象的满意度</t>
  </si>
  <si>
    <t>救治患者对急救服务的满意度</t>
  </si>
  <si>
    <t>玉溪市儿童医院“白强”卫生行业专家工作站项目计划于2023年至2026年三年内，支付建站经费10万元，共计10万元。为专家及其团队在医院开展新技术、新项目、科研教学、进修学习等提供资金支持。</t>
  </si>
  <si>
    <t>邀请专家进行线上培训次数</t>
  </si>
  <si>
    <t>次/年</t>
  </si>
  <si>
    <t>反应专家进行线上培训次数情况</t>
  </si>
  <si>
    <t>专家及其团队到访医院指导工作</t>
  </si>
  <si>
    <t>反应专家及其团队到访医院指导工作次数情况</t>
  </si>
  <si>
    <t>学员培训出勤率</t>
  </si>
  <si>
    <t>反应参加培训的学员出勤率是否达到100%</t>
  </si>
  <si>
    <t>资金执行完成时限</t>
  </si>
  <si>
    <t>反应资金执行时间情况</t>
  </si>
  <si>
    <t>对医院专业学科能力建设提升</t>
  </si>
  <si>
    <t>提高</t>
  </si>
  <si>
    <t>反应建设专家工作站后，医院专业学科能力建设的提升情况。</t>
  </si>
  <si>
    <t>培训学员满意度</t>
  </si>
  <si>
    <t>反应参加培训学员的满意程度</t>
  </si>
  <si>
    <t>合理确定医院运营费用，确保医院健康有序运转，提升医疗服务质量水平，保障医院可持续发展。</t>
  </si>
  <si>
    <t>预算编制工作职工知悉率</t>
  </si>
  <si>
    <t>职工知悉率100%</t>
  </si>
  <si>
    <t>预算编制准确率</t>
  </si>
  <si>
    <t>预算编制准确率达到85%以上</t>
  </si>
  <si>
    <t>项目时间</t>
  </si>
  <si>
    <t>项目时间为2022年全年</t>
  </si>
  <si>
    <t>提升医疗服务质量</t>
  </si>
  <si>
    <t>有效提升</t>
  </si>
  <si>
    <t>医院医疗服务质量得到提升</t>
  </si>
  <si>
    <t>患者满意度达到85%以上</t>
  </si>
  <si>
    <t>提升重点专科数</t>
  </si>
  <si>
    <t>反映医院服务能力和技术水平提升情况</t>
  </si>
  <si>
    <t>有所提升</t>
  </si>
  <si>
    <t>2025年收入较2024年增长比例</t>
  </si>
  <si>
    <t>提升县医院综合能力</t>
  </si>
  <si>
    <t>反映部门（单位）运转情况。</t>
  </si>
  <si>
    <t>是/否</t>
  </si>
  <si>
    <t>医务人员满意度</t>
  </si>
  <si>
    <t>反映部门（单位）人员对工资福利发放的满意程度。</t>
  </si>
  <si>
    <t>反映患者满意程度。</t>
  </si>
  <si>
    <t>预算06表</t>
  </si>
  <si>
    <t>2025年部门政府性基金预算支出预算表</t>
  </si>
  <si>
    <t>单位:元</t>
  </si>
  <si>
    <t>政府性基金预算支出</t>
  </si>
  <si>
    <t>备注：我部门无政府性基金预算，此表为空。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</si>
  <si>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</si>
  <si>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</si>
  <si>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</si>
  <si>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</si>
  <si>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</si>
  <si>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</si>
  <si>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</si>
  <si>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</si>
  <si>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</si>
  <si>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</si>
  <si>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</si>
  <si>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</si>
  <si>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公务用车保养维修费</t>
  </si>
  <si>
    <t>项</t>
  </si>
  <si>
    <t>公务用车保险费</t>
  </si>
  <si>
    <t>复印机</t>
  </si>
  <si>
    <t>台</t>
  </si>
  <si>
    <t>互联网接入服务</t>
  </si>
  <si>
    <t>复印纸</t>
  </si>
  <si>
    <t>印刷服务</t>
  </si>
  <si>
    <t>平板计算机</t>
  </si>
  <si>
    <t>台式电脑</t>
  </si>
  <si>
    <t>书柜</t>
  </si>
  <si>
    <t>A3黑白打印机</t>
  </si>
  <si>
    <t>A4黑白打印机</t>
  </si>
  <si>
    <t>公务用车油费</t>
  </si>
  <si>
    <t>打印一体机</t>
  </si>
  <si>
    <t>条码打印机</t>
  </si>
  <si>
    <t>保密柜</t>
  </si>
  <si>
    <t>金属架子</t>
  </si>
  <si>
    <t>组</t>
  </si>
  <si>
    <t>不间断电源</t>
  </si>
  <si>
    <t>医用超低温冰箱</t>
  </si>
  <si>
    <t>冰箱</t>
  </si>
  <si>
    <t>保安服务费（治安保卫、消防监控室等)</t>
  </si>
  <si>
    <t>交换机</t>
  </si>
  <si>
    <t>扫描仪</t>
  </si>
  <si>
    <t>桌前椅</t>
  </si>
  <si>
    <t>把</t>
  </si>
  <si>
    <t>中心负压引流器</t>
  </si>
  <si>
    <t>基因测序平台</t>
  </si>
  <si>
    <t>货架隔板</t>
  </si>
  <si>
    <t>货架</t>
  </si>
  <si>
    <t>空气消毒机</t>
  </si>
  <si>
    <t>新生儿身长测量仪</t>
  </si>
  <si>
    <t>批</t>
  </si>
  <si>
    <t>膳食宝塔模型</t>
  </si>
  <si>
    <t>检眼镜片箱</t>
  </si>
  <si>
    <t>办公桌</t>
  </si>
  <si>
    <t>平衡杆儿童款</t>
  </si>
  <si>
    <t>蜡块柜、玻片柜、晾片柜</t>
  </si>
  <si>
    <t>常频高频呼吸机</t>
  </si>
  <si>
    <t>二氧化碳培养箱</t>
  </si>
  <si>
    <t>壁挂式空气消毒机</t>
  </si>
  <si>
    <t>医用脚踩凳</t>
  </si>
  <si>
    <t>阅片灯箱</t>
  </si>
  <si>
    <t>WPS办公软件</t>
  </si>
  <si>
    <t>儿童血氧仪</t>
  </si>
  <si>
    <t>轮椅</t>
  </si>
  <si>
    <t>手术室升降旋转凳</t>
  </si>
  <si>
    <t>办公椅</t>
  </si>
  <si>
    <t>除湿机</t>
  </si>
  <si>
    <t>台式计算机</t>
  </si>
  <si>
    <t>凳子</t>
  </si>
  <si>
    <t>乳房活检与旋切系统</t>
  </si>
  <si>
    <t>多功能一体机（彩色）</t>
  </si>
  <si>
    <t>低速离心机</t>
  </si>
  <si>
    <t>新生儿体重秤</t>
  </si>
  <si>
    <t>扫码枪</t>
  </si>
  <si>
    <t>文件柜</t>
  </si>
  <si>
    <t>经皮胆红素测定仪</t>
  </si>
  <si>
    <t>儿心量表-II工具箱</t>
  </si>
  <si>
    <t>会计师事务所审计费</t>
  </si>
  <si>
    <t>张</t>
  </si>
  <si>
    <t>数字照相机</t>
  </si>
  <si>
    <t>陪护椅</t>
  </si>
  <si>
    <t>置物柜</t>
  </si>
  <si>
    <t>实验室旋转圆凳</t>
  </si>
  <si>
    <t>保洁服务费</t>
  </si>
  <si>
    <t>双道微量注射泵</t>
  </si>
  <si>
    <t>阴道镜</t>
  </si>
  <si>
    <t>立式灭菌器</t>
  </si>
  <si>
    <t>多功能一体机</t>
  </si>
  <si>
    <t>器械车</t>
  </si>
  <si>
    <t>DDST评估箱</t>
  </si>
  <si>
    <t>亚低温治疗仪</t>
  </si>
  <si>
    <t>药品追溯码高拍仪</t>
  </si>
  <si>
    <t>超纯水系统</t>
  </si>
  <si>
    <t>语音报价器</t>
  </si>
  <si>
    <t>移动式输液架</t>
  </si>
  <si>
    <t>显微镜</t>
  </si>
  <si>
    <t>档案柜</t>
  </si>
  <si>
    <t>高频胸壁震荡排痰仪</t>
  </si>
  <si>
    <t>荧光定量PCR仪</t>
  </si>
  <si>
    <t>保险柜</t>
  </si>
  <si>
    <t>窗口扫码器</t>
  </si>
  <si>
    <t>碎纸机</t>
  </si>
  <si>
    <t>冷冻离心机</t>
  </si>
  <si>
    <t>高流量吸氧机</t>
  </si>
  <si>
    <t>毛巾消毒柜</t>
  </si>
  <si>
    <t>训练用双向扶梯</t>
  </si>
  <si>
    <t>高脚塑料凳子</t>
  </si>
  <si>
    <t>铅衣架</t>
  </si>
  <si>
    <t>医用冷藏冷冻箱</t>
  </si>
  <si>
    <t>车辆燃油费</t>
  </si>
  <si>
    <t>车辆维修费</t>
  </si>
  <si>
    <t>车辆ETC充值</t>
  </si>
  <si>
    <t>车辆保险</t>
  </si>
  <si>
    <t>物业管理采购</t>
  </si>
  <si>
    <t>针式打印机购置</t>
  </si>
  <si>
    <t>实验楼6楼家具购置</t>
  </si>
  <si>
    <t>食堂原材料采购支出</t>
  </si>
  <si>
    <t>办公家具</t>
  </si>
  <si>
    <t>玉溪市人民医院保安服务项目</t>
  </si>
  <si>
    <t>办公电器</t>
  </si>
  <si>
    <t>玉溪市人民医院中央运送服务项目</t>
  </si>
  <si>
    <t>公务车加油合同</t>
  </si>
  <si>
    <t>公务车保险服务项目合同</t>
  </si>
  <si>
    <t>电梯设备</t>
  </si>
  <si>
    <t>肠内营养制剂</t>
  </si>
  <si>
    <t>玉溪市人民医院急诊医技楼及核医学楼补短板建设项目</t>
  </si>
  <si>
    <t>医用气体采购项目</t>
  </si>
  <si>
    <t>委托检验</t>
  </si>
  <si>
    <t>玉溪市人民医院保洁服务项目</t>
  </si>
  <si>
    <t>玉溪市人民医院基建零星维修项目</t>
  </si>
  <si>
    <t>医院标识标牌及宣传材料日常维护制作服务</t>
  </si>
  <si>
    <t>UPS备用电源</t>
  </si>
  <si>
    <t>电汤桶</t>
  </si>
  <si>
    <t>玉溪市人民医院电梯运行管理服务项目</t>
  </si>
  <si>
    <t>玉溪市人民医院水电运维服务项目</t>
  </si>
  <si>
    <t>中国电信玉溪分公司机话费包月服务合同</t>
  </si>
  <si>
    <t>云MAS业务协议</t>
  </si>
  <si>
    <t>专业设备维修</t>
  </si>
  <si>
    <t>空调设备</t>
  </si>
  <si>
    <t>办公设备等采购</t>
  </si>
  <si>
    <t>病案数字化归档系统项目</t>
  </si>
  <si>
    <t>医疗设备购置</t>
  </si>
  <si>
    <t>玉溪市人民医院复印纸采购项目</t>
  </si>
  <si>
    <t>信息系统采购</t>
  </si>
  <si>
    <t>医疗责任险</t>
  </si>
  <si>
    <t>视频彩铃业务服务协议</t>
  </si>
  <si>
    <t>玉溪市人民医院供电网络实时监控系统改造项目</t>
  </si>
  <si>
    <t>玉溪市人民医院室内外绿植租赁管护项目</t>
  </si>
  <si>
    <t>数字对讲调度服务合同</t>
  </si>
  <si>
    <t>公务车洗车业务合同</t>
  </si>
  <si>
    <t>公务车定点维修服务合同</t>
  </si>
  <si>
    <t>信息系统维护费</t>
  </si>
  <si>
    <t>中国电信玉溪分公司“阳光病房”协议</t>
  </si>
  <si>
    <t>玉溪市人民医院洗涤服务项目</t>
  </si>
  <si>
    <t>公务用车维修（医院办公室）</t>
  </si>
  <si>
    <t>办公家具（后勤保障科）</t>
  </si>
  <si>
    <t>办公设备（信息工程科）</t>
  </si>
  <si>
    <t>医疗设备维修保养（医学装备科）</t>
  </si>
  <si>
    <t>电气设备（医学装备科）</t>
  </si>
  <si>
    <t>信息系统及办公软件（信息工程科）</t>
  </si>
  <si>
    <t>公务用车保险（医院办公室）</t>
  </si>
  <si>
    <t>服务器及存储设备（信息工程科）</t>
  </si>
  <si>
    <t>公务用车加油（医院办公室）</t>
  </si>
  <si>
    <t>工程（后勤保障科）</t>
  </si>
  <si>
    <t>医疗印刷（后勤保障科）</t>
  </si>
  <si>
    <t>空调（后勤保障科）</t>
  </si>
  <si>
    <t>办公纸张（后勤保障科）</t>
  </si>
  <si>
    <t>医疗设备（医学装备科）</t>
  </si>
  <si>
    <t>化学药品和中药设备（医学装备科）</t>
  </si>
  <si>
    <t>洗胃机</t>
  </si>
  <si>
    <t>电动流产吸引器</t>
  </si>
  <si>
    <t>全自动尿液分析仪</t>
  </si>
  <si>
    <t>24小时动态心电图</t>
  </si>
  <si>
    <t>黑白打印机（激光）</t>
  </si>
  <si>
    <t>自动双面打印机</t>
  </si>
  <si>
    <t>血沉仪</t>
  </si>
  <si>
    <t>打印机多功能一体机</t>
  </si>
  <si>
    <t>投影仪器</t>
  </si>
  <si>
    <t>监控设备</t>
  </si>
  <si>
    <t>钞票处理设备（验钞机）</t>
  </si>
  <si>
    <t>全胸振荡排痰机</t>
  </si>
  <si>
    <t>洗板机</t>
  </si>
  <si>
    <t>电动吸引器</t>
  </si>
  <si>
    <t>空气波压力循环治疗仪</t>
  </si>
  <si>
    <t>电视机</t>
  </si>
  <si>
    <t>床旁化学发光快速心梗检测仪</t>
  </si>
  <si>
    <t>一体机电脑（国产）</t>
  </si>
  <si>
    <t>HERP系统</t>
  </si>
  <si>
    <t>空调</t>
  </si>
  <si>
    <t>医用纯水机</t>
  </si>
  <si>
    <t>笔记本电脑</t>
  </si>
  <si>
    <t>打印机多功能一休机</t>
  </si>
  <si>
    <t>资料柜</t>
  </si>
  <si>
    <t>24小时动态血压</t>
  </si>
  <si>
    <t>酶标仪</t>
  </si>
  <si>
    <t>显微镜（带摄像系统）</t>
  </si>
  <si>
    <t>眼前段照相机</t>
  </si>
  <si>
    <t>医用内窥镜冷光源</t>
  </si>
  <si>
    <t>台式电脑（24寸台式以上）</t>
  </si>
  <si>
    <t>内窥镜摄像系统</t>
  </si>
  <si>
    <t>办公设备</t>
  </si>
  <si>
    <t>打印纸</t>
  </si>
  <si>
    <t>气道过敏反应测试系统采购</t>
  </si>
  <si>
    <t>安保服务费</t>
  </si>
  <si>
    <t>保洁工程外包服务</t>
  </si>
  <si>
    <t>办公打印纸、复印纸采购服务采购</t>
  </si>
  <si>
    <t>公务用车维修费</t>
  </si>
  <si>
    <t>LED显示屏采购</t>
  </si>
  <si>
    <t>彩色喷墨打印机</t>
  </si>
  <si>
    <t>彩色激光打印机</t>
  </si>
  <si>
    <t>公务用车采购</t>
  </si>
  <si>
    <t>公务用车燃油费</t>
  </si>
  <si>
    <t>空调主机采购</t>
  </si>
  <si>
    <t>绿植养护租赁</t>
  </si>
  <si>
    <t>印刷用品采购</t>
  </si>
  <si>
    <t>预算08表</t>
  </si>
  <si>
    <t>2025年部门政府购买服务预算表</t>
  </si>
  <si>
    <t>政府购买服务项目</t>
  </si>
  <si>
    <t>政府购买服务目录</t>
  </si>
  <si>
    <t>物业管理服务</t>
  </si>
  <si>
    <t>B1102 物业管理服务</t>
  </si>
  <si>
    <t>B1003 网络接入服务</t>
  </si>
  <si>
    <t>财务咨询服务</t>
  </si>
  <si>
    <t>B0801 咨询服务</t>
  </si>
  <si>
    <t>法律顾问服务</t>
  </si>
  <si>
    <t>B0101 法律顾问服务</t>
  </si>
  <si>
    <t>B1104 印刷和出版服务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</si>
  <si>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</si>
  <si>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</si>
  <si>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</si>
  <si>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</si>
  <si>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</si>
  <si>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</si>
  <si>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</si>
  <si>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</si>
  <si>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</si>
  <si>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</si>
  <si>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</si>
  <si>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</si>
  <si>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</si>
  <si>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</si>
  <si>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</si>
  <si>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</si>
  <si>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</si>
  <si>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市级基层卫生保障资金包括乡村医生市级补助资金、国家基本公共卫生服务项目市级补助资金、重点对象家庭医生签约服务费市级补助和村卫生室建设市级补助资金。预期效果：实现乡村医生满意度≧80%的要求。促进居民健康意识的提高和不良生活方式的改变。村卫生室建筑面积60平方米以上，大力改善村民看病就医的条件。重点对象家庭医生签约服务是巩固拓展健康扶贫成果同乡村振兴有效衔接，是建立巩固脱贫攻坚成果长效机制的举措之一。
目标1.做好年度乡村医生补助工作，经费按标准及时下达，做到专款专用，确保无拖欠挪用情况发生。2.面向全体居民免费提供基本公共卫生服务，促进基本公共卫生服务逐步均等化。将0-6岁儿童、孕产妇、65岁及以上老年人、高血压和糖尿病患者、重性精神疾病患者、结核病患者列为重点人群，按照《国家基本公共卫生服务规范》开展针对性的健康管理服务，具体服务包括：城乡居民健康档案管理服务、健康教育服务、预防接种服务、0-6岁儿童健康管理服务、孕产妇健康管理服务。为辖区内居住的孕产妇提供健康管理服务、老年人健康管理服务、慢性病患者健康管理服务、重性精神病患者健康管理服务。3.家庭医生签约服务以已脱贫人口、农村低收入人口、困难产业工人、持证残疾人、计划生育特殊家庭、孕产妇、0-6岁儿童、老年人等重点人群，以及高血压、2型糖尿病、肺结核病、严重精神障碍等重点疾病患者为重点。坚持统筹兼顾、分片负责，以网格化健康管理为抓手，探索责任到人的网格化健康管理服务体系，强化县乡村联动，强化专业公共卫生机构、基层医疗卫生机构和医院联动，以规范落实服务内容为主线，创新慢性病医防协同机制，签约服务与基本公共卫生服务同步推进。对标对表，以“强基层，惠群众”为标准，县、乡、村明确专人，定期汇总分析和监督评价，紧盯履约薄弱环节，紧盯影响履约工作质量和成色的问题，盯牢重点环节和履约滞后的签约服务团队，加强督促检查和指导力度，规范抓好履约工作，服务内容做到月清季结，完善履约记录，稳步推进履约工作。4.完成年度村卫生室建设任务，完成至少20个村卫生室改扩建任务，确保改造的村卫生室建筑面积60平方米以上，至少设有诊断室、治疗室、公共卫生室和药房，村卫生室建设达标率100%。</t>
  </si>
  <si>
    <t>预算10表</t>
  </si>
  <si>
    <t>2025年新增资产配置表</t>
  </si>
  <si>
    <t>资产类别</t>
  </si>
  <si>
    <t>资产分类代码.名称</t>
  </si>
  <si>
    <t>资产名称</t>
  </si>
  <si>
    <t>计量单位</t>
  </si>
  <si>
    <t>财政部门批复数（元）</t>
  </si>
  <si>
    <t>单价</t>
  </si>
  <si>
    <t>金额</t>
  </si>
  <si>
    <t>设备</t>
  </si>
  <si>
    <t>A02021301 碎纸机</t>
  </si>
  <si>
    <t>A02020100 复印机</t>
  </si>
  <si>
    <t>普通黑白复印机</t>
  </si>
  <si>
    <t>A02021001 A3黑白打印机</t>
  </si>
  <si>
    <t>A02010109 平板式计算机</t>
  </si>
  <si>
    <t>平板电脑</t>
  </si>
  <si>
    <t>A02021003 A4黑白打印机</t>
  </si>
  <si>
    <t>A02010105 台式计算机</t>
  </si>
  <si>
    <t>台式机</t>
  </si>
  <si>
    <t>家具和用品</t>
  </si>
  <si>
    <t>A05010501 书柜</t>
  </si>
  <si>
    <t>A02021007 条码打印机</t>
  </si>
  <si>
    <t>A02020400 多功能一体机</t>
  </si>
  <si>
    <t>A05010602 金属质架类</t>
  </si>
  <si>
    <t>A05010504 保密柜</t>
  </si>
  <si>
    <t>A02320800 物理治疗、康复及体育治疗仪器设备</t>
  </si>
  <si>
    <t>A02021199 其他输入输出设备</t>
  </si>
  <si>
    <t>A02320200 普通诊察器械</t>
  </si>
  <si>
    <t>A02061504 不间断电源</t>
  </si>
  <si>
    <t>A02021119 条码扫描器</t>
  </si>
  <si>
    <t>A02322800 消毒灭菌设备及器具</t>
  </si>
  <si>
    <t>A02320400 医用光学仪器</t>
  </si>
  <si>
    <t>A02321900 临床检验设备</t>
  </si>
  <si>
    <t>A02322500 急救和生命支持设备</t>
  </si>
  <si>
    <t>A02322700 病房护理及医院设备</t>
  </si>
  <si>
    <t>A02320300 医用电子生理参数检测仪器设备</t>
  </si>
  <si>
    <t>A02320700 医用内窥镜</t>
  </si>
  <si>
    <t>A02322900 医用低温、冷疗设备</t>
  </si>
  <si>
    <t>A02322400 手术室设备及附件</t>
  </si>
  <si>
    <t>A02323100 助残器械</t>
  </si>
  <si>
    <t>A02020501 数字照相机</t>
  </si>
  <si>
    <t>A02021118 扫描仪</t>
  </si>
  <si>
    <t>A02320100 手术器械</t>
  </si>
  <si>
    <t>A02061809 调湿调温机</t>
  </si>
  <si>
    <t>A02010202 交换设备</t>
  </si>
  <si>
    <t>A05010201 办公桌</t>
  </si>
  <si>
    <t>A05010301 办公椅</t>
  </si>
  <si>
    <t>A05010599 其他柜类</t>
  </si>
  <si>
    <t>A05010399 其他椅凳类</t>
  </si>
  <si>
    <t>A05010699 其他架类</t>
  </si>
  <si>
    <t>A05010502 文件柜</t>
  </si>
  <si>
    <t>A05010304 教学、实验椅凳</t>
  </si>
  <si>
    <t>A05010302 桌前椅</t>
  </si>
  <si>
    <t>无形资产</t>
  </si>
  <si>
    <t>A08060301 基础软件</t>
  </si>
  <si>
    <t>生物安全柜</t>
  </si>
  <si>
    <t>A02329900 其他医疗设备</t>
  </si>
  <si>
    <t>血液运输箱（30L）</t>
  </si>
  <si>
    <t>手持热合机</t>
  </si>
  <si>
    <t>血液标本后处理系统</t>
  </si>
  <si>
    <t>A02051601 立体仓库设备</t>
  </si>
  <si>
    <t>智能仓储</t>
  </si>
  <si>
    <t>A02052303 冷藏箱柜</t>
  </si>
  <si>
    <t>车载储血冰箱</t>
  </si>
  <si>
    <t>便携式采血系统</t>
  </si>
  <si>
    <t>全实验室自动化（TLA）系统</t>
  </si>
  <si>
    <t>A02021099 其他打印机</t>
  </si>
  <si>
    <t>针式打印机</t>
  </si>
  <si>
    <t>血液运输箱（54L）</t>
  </si>
  <si>
    <t>洁净工作台</t>
  </si>
  <si>
    <t>血小板震荡保存箱</t>
  </si>
  <si>
    <t>高压灭菌器</t>
  </si>
  <si>
    <t>A05010299 其他台、桌类</t>
  </si>
  <si>
    <t>主席台</t>
  </si>
  <si>
    <t>主席椅</t>
  </si>
  <si>
    <t>A05010303 会议椅</t>
  </si>
  <si>
    <t>会议椅</t>
  </si>
  <si>
    <t>A05010202 会议桌</t>
  </si>
  <si>
    <t>会议折叠桌</t>
  </si>
  <si>
    <t>A02061804 空调机</t>
  </si>
  <si>
    <t>A02021004 A4彩色打印机</t>
  </si>
  <si>
    <t>A4彩色打印机</t>
  </si>
  <si>
    <t>高速彩色复印机</t>
  </si>
  <si>
    <t>A02091001 普通电视设备（电视机）</t>
  </si>
  <si>
    <t>电视</t>
  </si>
  <si>
    <t>A02061801 电冰箱</t>
  </si>
  <si>
    <t>黑白复印机</t>
  </si>
  <si>
    <t>计算机</t>
  </si>
  <si>
    <t>A02010108 便携式计算机</t>
  </si>
  <si>
    <t>黑白打印机</t>
  </si>
  <si>
    <t>A02091399 其他组合音像设备</t>
  </si>
  <si>
    <t>音响设备</t>
  </si>
  <si>
    <t>A02061511 蓄电池及充电装置</t>
  </si>
  <si>
    <t>UPS备用电池</t>
  </si>
  <si>
    <t>A02051399 其他输送设备</t>
  </si>
  <si>
    <t>电梯</t>
  </si>
  <si>
    <t>A02061810 洗衣机</t>
  </si>
  <si>
    <t>烘干一体机</t>
  </si>
  <si>
    <t>A02089900 其他通信设备</t>
  </si>
  <si>
    <t>读卡器</t>
  </si>
  <si>
    <t>A05020102 炊事机械</t>
  </si>
  <si>
    <t>A05010401 三人沙发</t>
  </si>
  <si>
    <t>沙发</t>
  </si>
  <si>
    <t>A05010601 木质架类</t>
  </si>
  <si>
    <t>储物柜</t>
  </si>
  <si>
    <t>A05010104 木制床类</t>
  </si>
  <si>
    <t>高低床</t>
  </si>
  <si>
    <t>A05010503 更衣柜</t>
  </si>
  <si>
    <t>更衣柜</t>
  </si>
  <si>
    <t>候诊椅</t>
  </si>
  <si>
    <t>输液观察椅</t>
  </si>
  <si>
    <t>条桌</t>
  </si>
  <si>
    <t>器械柜</t>
  </si>
  <si>
    <t>A08060303 应用软件</t>
  </si>
  <si>
    <t>AI职能总检系统</t>
  </si>
  <si>
    <t>全面预算管理系统、报销系统、OCR识别</t>
  </si>
  <si>
    <t>全自动医院智能采血管理系统</t>
  </si>
  <si>
    <t>肿瘤防治一体化平台</t>
  </si>
  <si>
    <t>医院DRGS协作管理系统</t>
  </si>
  <si>
    <t>追溯管理系统</t>
  </si>
  <si>
    <t>内镜洗消追溯系统</t>
  </si>
  <si>
    <t>市级创伤中心质量控制系统</t>
  </si>
  <si>
    <t>三级医院评审数据分析系统</t>
  </si>
  <si>
    <t>便携式计算机</t>
  </si>
  <si>
    <t>A02020200 投影仪</t>
  </si>
  <si>
    <t>投影仪</t>
  </si>
  <si>
    <t>数码单反相机</t>
  </si>
  <si>
    <t>A05010505 茶水柜</t>
  </si>
  <si>
    <t>茶水柜</t>
  </si>
  <si>
    <t>A02370400 安全、检查、监视、报警设备</t>
  </si>
  <si>
    <t>A02020300 投影幕</t>
  </si>
  <si>
    <t>A02390100 钞票处理设备</t>
  </si>
  <si>
    <t>验钞机</t>
  </si>
  <si>
    <t>A02021120 高拍仪</t>
  </si>
  <si>
    <t>高拍仪</t>
  </si>
  <si>
    <t>打印机</t>
  </si>
  <si>
    <t>空调主机</t>
  </si>
  <si>
    <t>A02021103 LED显示屏</t>
  </si>
  <si>
    <t>LED显示屏</t>
  </si>
  <si>
    <t>块</t>
  </si>
  <si>
    <t>安检系统</t>
  </si>
  <si>
    <t>A4彩色喷墨打印机</t>
  </si>
  <si>
    <t>A4彩色激光打印机</t>
  </si>
  <si>
    <t>关节镜</t>
  </si>
  <si>
    <t>二维码扫描平台</t>
  </si>
  <si>
    <t>A02029900 其他办公设备</t>
  </si>
  <si>
    <t>国际会议中心LED显示屏</t>
  </si>
  <si>
    <t>高级心肺复苏模型（带平板电脑反馈）</t>
  </si>
  <si>
    <t>宫腔镜模拟器</t>
  </si>
  <si>
    <t>高压造影注射器</t>
  </si>
  <si>
    <t>排痰机</t>
  </si>
  <si>
    <t>彩色打印机</t>
  </si>
  <si>
    <t>四合一读卡器</t>
  </si>
  <si>
    <t>彩色打印复印一体机</t>
  </si>
  <si>
    <t>高级护理人模型</t>
  </si>
  <si>
    <t>电动康复病床</t>
  </si>
  <si>
    <t>其他硬件设备</t>
  </si>
  <si>
    <t>高级静脉穿刺手臂模型</t>
  </si>
  <si>
    <t>高级气道管理模型</t>
  </si>
  <si>
    <t>急救情景训练模拟器，带两台导师控制平板TMAPP02</t>
  </si>
  <si>
    <t>腹腔镜训练箱</t>
  </si>
  <si>
    <t>麻醉深度监测仪（BIS）</t>
  </si>
  <si>
    <t>站立架</t>
  </si>
  <si>
    <t>电动升降Bobath床（带靠背 PT训练床）</t>
  </si>
  <si>
    <t>床旁下肢主被动训练器</t>
  </si>
  <si>
    <t>手功能被动训练设备（外骨骼气动手）</t>
  </si>
  <si>
    <t>脊柱侧弯评估系统</t>
  </si>
  <si>
    <t>A02323300 口腔设备及器械</t>
  </si>
  <si>
    <t>牙科治疗椅</t>
  </si>
  <si>
    <t>APTable 数字化作业训练平台（智能磨砂板）</t>
  </si>
  <si>
    <t>床旁上肢主被动训练器</t>
  </si>
  <si>
    <t>洗胃机（儿童）</t>
  </si>
  <si>
    <t>SmartColor 多感觉反馈电子插板（木插板）</t>
  </si>
  <si>
    <t>标签打印机</t>
  </si>
  <si>
    <t>漏项软件采购</t>
  </si>
  <si>
    <t>预算11表</t>
  </si>
  <si>
    <t>2025年上级补助项目支出预算表</t>
  </si>
  <si>
    <t>上级补助</t>
  </si>
  <si>
    <t>备注：我部门无上级补助项目支出 ，此表为空。</t>
  </si>
  <si>
    <t>预算12表</t>
  </si>
  <si>
    <t>2025年部门项目支出中期规划预算表</t>
  </si>
  <si>
    <t>项目级次</t>
  </si>
  <si>
    <t>2025年</t>
  </si>
  <si>
    <t>2026年</t>
  </si>
  <si>
    <t>2027年</t>
  </si>
  <si>
    <t>312 民生类</t>
  </si>
  <si>
    <t>本级</t>
  </si>
  <si>
    <t>322 民生类</t>
  </si>
  <si>
    <t>下级</t>
  </si>
  <si>
    <t>323 事业发展类</t>
  </si>
  <si>
    <t>311 专项业务类</t>
  </si>
  <si>
    <t>313 事业发展类</t>
  </si>
  <si>
    <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</si>
</sst>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176" formatCode="#,##0;\-#,##0;;@"/>
    <numFmt numFmtId="177" formatCode="yyyy/mm/dd"/>
    <numFmt numFmtId="178" formatCode="#,##0.00;\-#,##0.00;;@"/>
    <numFmt numFmtId="179" formatCode="hh:mm:ss"/>
    <numFmt numFmtId="180" formatCode="yyyy/mm/dd\ hh:mm:ss"/>
    <numFmt numFmtId="42" formatCode="_ &quot;￥&quot;* #,##0_ ;_ &quot;￥&quot;* \-#,##0_ ;_ &quot;￥&quot;* &quot;-&quot;_ ;_ @_ "/>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9"/>
      <color rgb="FF000000"/>
      <name val="SimSun"/>
      <charset val="134"/>
    </font>
    <font>
      <sz val="9"/>
      <color theme="1"/>
      <name val="宋体"/>
      <charset val="134"/>
    </font>
    <font>
      <sz val="10"/>
      <color rgb="FF000000"/>
      <name val="SimSun"/>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true"/>
      </left>
      <right style="thin">
        <color auto="true"/>
      </right>
      <top style="thin">
        <color rgb="FF000000"/>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7">
    <xf numFmtId="0" fontId="0" fillId="0" borderId="0">
      <alignment vertical="top"/>
    </xf>
    <xf numFmtId="176" fontId="11" fillId="0" borderId="4">
      <alignment horizontal="right" vertical="center"/>
    </xf>
    <xf numFmtId="10" fontId="11" fillId="0" borderId="4">
      <alignment horizontal="right" vertical="center"/>
    </xf>
    <xf numFmtId="180" fontId="11" fillId="0" borderId="4">
      <alignment horizontal="right" vertical="center"/>
    </xf>
    <xf numFmtId="179" fontId="11" fillId="0" borderId="4">
      <alignment horizontal="right" vertical="center"/>
    </xf>
    <xf numFmtId="178" fontId="11" fillId="0" borderId="4">
      <alignment horizontal="right" vertical="center"/>
    </xf>
    <xf numFmtId="178" fontId="11" fillId="0" borderId="4">
      <alignment horizontal="right" vertical="center"/>
    </xf>
    <xf numFmtId="0" fontId="23" fillId="26"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2" fillId="32"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6" fillId="0" borderId="24"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2" fillId="0" borderId="21" applyNumberFormat="false" applyFill="false" applyAlignment="false" applyProtection="false">
      <alignment vertical="center"/>
    </xf>
    <xf numFmtId="9"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34" fillId="0" borderId="22" applyNumberFormat="false" applyFill="false" applyAlignment="false" applyProtection="false">
      <alignment vertical="center"/>
    </xf>
    <xf numFmtId="177" fontId="11" fillId="0" borderId="4">
      <alignment horizontal="right" vertical="center"/>
    </xf>
    <xf numFmtId="42" fontId="19" fillId="0" borderId="0" applyFont="false" applyFill="false" applyBorder="false" applyAlignment="false" applyProtection="false">
      <alignment vertical="center"/>
    </xf>
    <xf numFmtId="0" fontId="22" fillId="2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3" fillId="28"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40" fillId="0" borderId="22" applyNumberFormat="false" applyFill="false" applyAlignment="false" applyProtection="false">
      <alignment vertical="center"/>
    </xf>
    <xf numFmtId="49" fontId="11" fillId="0" borderId="4">
      <alignment horizontal="left" vertical="center" wrapText="true"/>
    </xf>
    <xf numFmtId="0" fontId="37" fillId="0" borderId="0" applyNumberFormat="false" applyFill="false" applyBorder="false" applyAlignment="false" applyProtection="false">
      <alignment vertical="center"/>
    </xf>
    <xf numFmtId="0" fontId="23" fillId="30"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23" fillId="31" borderId="0" applyNumberFormat="false" applyBorder="false" applyAlignment="false" applyProtection="false">
      <alignment vertical="center"/>
    </xf>
    <xf numFmtId="0" fontId="39" fillId="29" borderId="20" applyNumberFormat="false" applyAlignment="false" applyProtection="false">
      <alignment vertical="center"/>
    </xf>
    <xf numFmtId="0" fontId="35" fillId="0" borderId="0" applyNumberFormat="false" applyFill="false" applyBorder="false" applyAlignment="false" applyProtection="false">
      <alignment vertical="center"/>
    </xf>
    <xf numFmtId="41" fontId="19" fillId="0" borderId="0" applyFont="false" applyFill="false" applyBorder="false" applyAlignment="false" applyProtection="false">
      <alignment vertical="center"/>
    </xf>
    <xf numFmtId="0" fontId="22" fillId="21"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31" fillId="15" borderId="20" applyNumberFormat="false" applyAlignment="false" applyProtection="false">
      <alignment vertical="center"/>
    </xf>
    <xf numFmtId="0" fontId="38" fillId="29" borderId="23" applyNumberFormat="false" applyAlignment="false" applyProtection="false">
      <alignment vertical="center"/>
    </xf>
    <xf numFmtId="0" fontId="29" fillId="13" borderId="19" applyNumberFormat="false" applyAlignment="false" applyProtection="false">
      <alignment vertical="center"/>
    </xf>
    <xf numFmtId="0" fontId="28" fillId="0" borderId="18" applyNumberFormat="false" applyFill="false" applyAlignment="false" applyProtection="false">
      <alignment vertical="center"/>
    </xf>
    <xf numFmtId="0" fontId="22" fillId="12"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19" fillId="11" borderId="17"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30" fillId="14"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2" fillId="9"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2" fillId="2" borderId="0" applyNumberFormat="false" applyBorder="false" applyAlignment="false" applyProtection="false">
      <alignment vertical="center"/>
    </xf>
  </cellStyleXfs>
  <cellXfs count="195">
    <xf numFmtId="0" fontId="0" fillId="0" borderId="0" xfId="0" applyFont="true">
      <alignment vertical="top"/>
    </xf>
    <xf numFmtId="0" fontId="1" fillId="0" borderId="0" xfId="0" applyFont="true" applyBorder="true" applyAlignment="true">
      <alignment horizontal="right" vertical="center"/>
    </xf>
    <xf numFmtId="49" fontId="1" fillId="0" borderId="0" xfId="0" applyNumberFormat="true" applyFont="true" applyBorder="true" applyAlignment="true">
      <alignment horizontal="right" vertical="center"/>
    </xf>
    <xf numFmtId="0" fontId="2" fillId="0" borderId="0" xfId="0" applyFont="true" applyBorder="true" applyAlignment="true">
      <alignment horizontal="center" vertical="center"/>
    </xf>
    <xf numFmtId="0" fontId="3" fillId="0" borderId="0" xfId="0" applyFont="true" applyBorder="true" applyAlignment="true" applyProtection="true">
      <alignment horizontal="left" vertical="center"/>
      <protection locked="false"/>
    </xf>
    <xf numFmtId="0" fontId="4" fillId="0" borderId="0" xfId="0" applyFont="true" applyBorder="true" applyAlignment="true">
      <alignment horizontal="left" vertical="center"/>
    </xf>
    <xf numFmtId="0" fontId="1" fillId="0" borderId="1" xfId="0" applyFont="true" applyBorder="true" applyAlignment="true" applyProtection="true">
      <alignment horizontal="center" vertical="center" wrapText="true"/>
      <protection locked="false"/>
    </xf>
    <xf numFmtId="0" fontId="1" fillId="0" borderId="1" xfId="0" applyFont="true" applyBorder="true" applyAlignment="true">
      <alignment horizontal="center" vertical="center" wrapText="true"/>
    </xf>
    <xf numFmtId="0" fontId="1" fillId="0" borderId="2" xfId="0" applyFont="true" applyBorder="true" applyAlignment="true" applyProtection="true">
      <alignment horizontal="center" vertical="center" wrapText="true"/>
      <protection locked="false"/>
    </xf>
    <xf numFmtId="0" fontId="1" fillId="0" borderId="2" xfId="0" applyFont="true" applyBorder="true" applyAlignment="true">
      <alignment horizontal="center" vertical="center" wrapText="true"/>
    </xf>
    <xf numFmtId="0" fontId="1" fillId="0" borderId="3" xfId="0" applyFont="true" applyBorder="true" applyAlignment="true" applyProtection="true">
      <alignment horizontal="center" vertical="center" wrapText="true"/>
      <protection locked="false"/>
    </xf>
    <xf numFmtId="0" fontId="1" fillId="0" borderId="3" xfId="0" applyFont="true" applyBorder="true" applyAlignment="true">
      <alignment horizontal="center" vertical="center" wrapText="true"/>
    </xf>
    <xf numFmtId="0" fontId="1" fillId="0" borderId="4" xfId="0" applyFont="true" applyBorder="true" applyAlignment="true">
      <alignment horizontal="center" vertical="center"/>
    </xf>
    <xf numFmtId="0" fontId="5" fillId="0" borderId="4" xfId="0" applyFont="true" applyBorder="true" applyAlignment="true" applyProtection="true">
      <alignment horizontal="left" vertical="center" wrapText="true"/>
      <protection locked="false"/>
    </xf>
    <xf numFmtId="0" fontId="5" fillId="0" borderId="4" xfId="0" applyFont="true" applyBorder="true" applyAlignment="true" applyProtection="true">
      <alignment horizontal="left" vertical="center"/>
      <protection locked="false"/>
    </xf>
    <xf numFmtId="49" fontId="5" fillId="0" borderId="4" xfId="27" applyNumberFormat="true" applyFont="true" applyBorder="true">
      <alignment horizontal="left" vertical="center" wrapText="true"/>
    </xf>
    <xf numFmtId="0" fontId="5" fillId="0" borderId="4" xfId="0" applyFont="true" applyBorder="true" applyAlignment="true" applyProtection="true">
      <alignment horizontal="left" vertical="center" wrapText="true" indent="2"/>
      <protection locked="false"/>
    </xf>
    <xf numFmtId="49" fontId="5" fillId="0" borderId="4" xfId="0" applyNumberFormat="true" applyFont="true" applyBorder="true" applyAlignment="true">
      <alignment horizontal="center" vertical="center" wrapText="true"/>
    </xf>
    <xf numFmtId="49" fontId="6" fillId="0" borderId="4" xfId="27" applyNumberFormat="true" applyFont="true" applyBorder="true">
      <alignment horizontal="left" vertical="center" wrapText="true"/>
    </xf>
    <xf numFmtId="0" fontId="5" fillId="0" borderId="5" xfId="0" applyFont="true" applyBorder="true" applyAlignment="true" applyProtection="true">
      <alignment horizontal="center" vertical="center" wrapText="true"/>
      <protection locked="false"/>
    </xf>
    <xf numFmtId="0" fontId="5" fillId="0" borderId="6" xfId="0" applyFont="true" applyBorder="true" applyAlignment="true" applyProtection="true">
      <alignment horizontal="left" vertical="center" wrapText="true"/>
      <protection locked="false"/>
    </xf>
    <xf numFmtId="0" fontId="5" fillId="0" borderId="7" xfId="0" applyFont="true" applyBorder="true" applyAlignment="true" applyProtection="true">
      <alignment horizontal="left" vertical="center" wrapText="true"/>
      <protection locked="false"/>
    </xf>
    <xf numFmtId="0" fontId="1" fillId="0" borderId="0" xfId="0" applyFont="true" applyBorder="true" applyAlignment="true" applyProtection="true">
      <alignment horizontal="right" vertical="center"/>
      <protection locked="false"/>
    </xf>
    <xf numFmtId="0" fontId="4" fillId="0" borderId="0" xfId="0" applyFont="true" applyBorder="true" applyAlignment="true"/>
    <xf numFmtId="0" fontId="7" fillId="0" borderId="0" xfId="0" applyFont="true" applyBorder="true" applyAlignment="true" applyProtection="true">
      <alignment horizontal="right"/>
      <protection locked="false"/>
    </xf>
    <xf numFmtId="0" fontId="1" fillId="0" borderId="5" xfId="0" applyFont="true" applyBorder="true" applyAlignment="true">
      <alignment horizontal="center" vertical="center"/>
    </xf>
    <xf numFmtId="0" fontId="1" fillId="0" borderId="6" xfId="0" applyFont="true" applyBorder="true" applyAlignment="true">
      <alignment horizontal="center" vertical="center"/>
    </xf>
    <xf numFmtId="0" fontId="1" fillId="0" borderId="7" xfId="0" applyFont="true" applyBorder="true" applyAlignment="true">
      <alignment horizontal="center" vertical="center"/>
    </xf>
    <xf numFmtId="0" fontId="1" fillId="0" borderId="1" xfId="0" applyFont="true" applyBorder="true" applyAlignment="true">
      <alignment horizontal="center" vertical="center"/>
    </xf>
    <xf numFmtId="0" fontId="1" fillId="0" borderId="3" xfId="0" applyFont="true" applyBorder="true" applyAlignment="true">
      <alignment horizontal="center" vertical="center"/>
    </xf>
    <xf numFmtId="178" fontId="6" fillId="0" borderId="4" xfId="0" applyNumberFormat="true" applyFont="true" applyBorder="true" applyAlignment="true">
      <alignment horizontal="right" vertical="center"/>
    </xf>
    <xf numFmtId="0" fontId="5" fillId="0" borderId="0" xfId="0" applyFont="true" applyBorder="true" applyAlignment="true">
      <alignment horizontal="right" vertical="center"/>
    </xf>
    <xf numFmtId="49" fontId="5" fillId="0" borderId="0" xfId="0" applyNumberFormat="true" applyFont="true" applyBorder="true" applyAlignment="true">
      <alignment horizontal="right" vertical="center"/>
    </xf>
    <xf numFmtId="0" fontId="8" fillId="0" borderId="0" xfId="0" applyFont="true" applyBorder="true" applyAlignment="true">
      <alignment horizontal="center" vertical="center"/>
    </xf>
    <xf numFmtId="0" fontId="9" fillId="0" borderId="1" xfId="0" applyFont="true" applyBorder="true" applyAlignment="true" applyProtection="true">
      <alignment horizontal="center" vertical="center" wrapText="true"/>
      <protection locked="false"/>
    </xf>
    <xf numFmtId="0" fontId="9" fillId="0" borderId="1" xfId="0" applyFont="true" applyBorder="true" applyAlignment="true">
      <alignment horizontal="center" vertical="center" wrapText="true"/>
    </xf>
    <xf numFmtId="0" fontId="9" fillId="0" borderId="2" xfId="0" applyFont="true" applyBorder="true" applyAlignment="true" applyProtection="true">
      <alignment horizontal="center" vertical="center" wrapText="true"/>
      <protection locked="false"/>
    </xf>
    <xf numFmtId="0" fontId="9" fillId="0" borderId="2" xfId="0" applyFont="true" applyBorder="true" applyAlignment="true">
      <alignment horizontal="center" vertical="center" wrapText="true"/>
    </xf>
    <xf numFmtId="0" fontId="9" fillId="0" borderId="3" xfId="0" applyFont="true" applyBorder="true" applyAlignment="true" applyProtection="true">
      <alignment horizontal="center" vertical="center" wrapText="true"/>
      <protection locked="false"/>
    </xf>
    <xf numFmtId="0" fontId="9" fillId="0" borderId="3" xfId="0" applyFont="true" applyBorder="true" applyAlignment="true">
      <alignment horizontal="center" vertical="center" wrapText="true"/>
    </xf>
    <xf numFmtId="0" fontId="9" fillId="0" borderId="4" xfId="0" applyFont="true" applyBorder="true" applyAlignment="true">
      <alignment horizontal="center" vertical="center"/>
    </xf>
    <xf numFmtId="0" fontId="3" fillId="0" borderId="4" xfId="0" applyFont="true" applyBorder="true" applyAlignment="true">
      <alignment horizontal="left" vertical="center" wrapText="true"/>
    </xf>
    <xf numFmtId="0" fontId="3" fillId="0" borderId="4" xfId="0" applyFont="true" applyBorder="true" applyAlignment="true" applyProtection="true">
      <alignment horizontal="left" vertical="center" wrapText="true"/>
      <protection locked="false"/>
    </xf>
    <xf numFmtId="0" fontId="10" fillId="0" borderId="5" xfId="0" applyFont="true" applyBorder="true" applyAlignment="true" applyProtection="true">
      <alignment horizontal="center" vertical="center" wrapText="true"/>
      <protection locked="false"/>
    </xf>
    <xf numFmtId="0" fontId="3" fillId="0" borderId="6" xfId="0" applyFont="true" applyBorder="true" applyAlignment="true">
      <alignment horizontal="left" vertical="center"/>
    </xf>
    <xf numFmtId="0" fontId="9" fillId="0" borderId="1" xfId="0" applyFont="true" applyBorder="true" applyAlignment="true">
      <alignment horizontal="center" vertical="center"/>
    </xf>
    <xf numFmtId="0" fontId="9" fillId="0" borderId="2" xfId="0" applyFont="true" applyBorder="true" applyAlignment="true">
      <alignment horizontal="center" vertical="center"/>
    </xf>
    <xf numFmtId="0" fontId="9" fillId="0" borderId="3" xfId="0" applyFont="true" applyBorder="true" applyAlignment="true">
      <alignment horizontal="center" vertical="center"/>
    </xf>
    <xf numFmtId="178" fontId="6" fillId="0" borderId="4" xfId="0" applyNumberFormat="true" applyFont="true" applyBorder="true" applyAlignment="true">
      <alignment horizontal="right" vertical="center" wrapText="true"/>
    </xf>
    <xf numFmtId="0" fontId="3" fillId="0" borderId="7" xfId="0" applyFont="true" applyBorder="true" applyAlignment="true">
      <alignment horizontal="left" vertical="center"/>
    </xf>
    <xf numFmtId="0" fontId="5" fillId="0" borderId="0" xfId="0" applyFont="true" applyBorder="true" applyAlignment="true" applyProtection="true">
      <alignment horizontal="right" vertical="center"/>
      <protection locked="false"/>
    </xf>
    <xf numFmtId="0" fontId="10" fillId="0" borderId="0" xfId="0" applyFont="true" applyBorder="true" applyAlignment="true" applyProtection="true">
      <alignment horizontal="right"/>
      <protection locked="false"/>
    </xf>
    <xf numFmtId="0" fontId="9" fillId="0" borderId="5" xfId="0" applyFont="true" applyBorder="true" applyAlignment="true">
      <alignment horizontal="center" vertical="center"/>
    </xf>
    <xf numFmtId="0" fontId="9" fillId="0" borderId="6" xfId="0" applyFont="true" applyBorder="true" applyAlignment="true">
      <alignment horizontal="center" vertical="center"/>
    </xf>
    <xf numFmtId="0" fontId="9" fillId="0" borderId="7" xfId="0" applyFont="true" applyBorder="true" applyAlignment="true">
      <alignment horizontal="center" vertical="center"/>
    </xf>
    <xf numFmtId="0" fontId="9" fillId="0" borderId="4" xfId="0" applyFont="true" applyBorder="true" applyAlignment="true" applyProtection="true">
      <alignment horizontal="center" vertical="center"/>
      <protection locked="false"/>
    </xf>
    <xf numFmtId="49" fontId="11" fillId="0" borderId="0" xfId="27" applyNumberFormat="true" applyFont="true" applyBorder="true" applyAlignment="true">
      <alignment horizontal="right" vertical="center" wrapText="true"/>
    </xf>
    <xf numFmtId="49" fontId="12" fillId="0" borderId="0" xfId="27" applyNumberFormat="true" applyFont="true" applyBorder="true" applyAlignment="true">
      <alignment horizontal="center" vertical="center" wrapText="true"/>
    </xf>
    <xf numFmtId="49" fontId="11" fillId="0" borderId="0" xfId="27" applyNumberFormat="true" applyFont="true" applyBorder="true">
      <alignment horizontal="left" vertical="center" wrapText="true"/>
    </xf>
    <xf numFmtId="49" fontId="13" fillId="0" borderId="4" xfId="0" applyNumberFormat="true" applyFont="true" applyBorder="true" applyAlignment="true">
      <alignment horizontal="center" vertical="center" wrapText="true"/>
    </xf>
    <xf numFmtId="49" fontId="14" fillId="0" borderId="4" xfId="0" applyNumberFormat="true" applyFont="true" applyBorder="true" applyAlignment="true">
      <alignment horizontal="center" vertical="center" wrapText="true"/>
    </xf>
    <xf numFmtId="49" fontId="11" fillId="0" borderId="4" xfId="0" applyNumberFormat="true" applyFont="true" applyBorder="true" applyAlignment="true">
      <alignment horizontal="left" vertical="center" wrapText="true"/>
    </xf>
    <xf numFmtId="49" fontId="11" fillId="0" borderId="4" xfId="0" applyNumberFormat="true" applyFont="true" applyBorder="true" applyAlignment="true">
      <alignment horizontal="left" vertical="center" wrapText="true" indent="2"/>
    </xf>
    <xf numFmtId="49" fontId="11" fillId="0" borderId="4" xfId="0" applyNumberFormat="true" applyFont="true" applyBorder="true" applyAlignment="true">
      <alignment horizontal="center" vertical="center" wrapText="true"/>
    </xf>
    <xf numFmtId="176" fontId="11" fillId="0" borderId="4" xfId="0" applyNumberFormat="true" applyFont="true" applyBorder="true" applyAlignment="true">
      <alignment horizontal="right" vertical="center" wrapText="true"/>
    </xf>
    <xf numFmtId="178" fontId="11" fillId="0" borderId="4" xfId="0" applyNumberFormat="true" applyFont="true" applyBorder="true" applyAlignment="true">
      <alignment horizontal="right" vertical="center" wrapText="true"/>
    </xf>
    <xf numFmtId="0" fontId="15" fillId="0" borderId="0" xfId="0" applyFont="true" applyBorder="true" applyAlignment="true">
      <alignment horizontal="center" vertical="center"/>
    </xf>
    <xf numFmtId="0" fontId="16" fillId="0" borderId="0" xfId="0" applyFont="true" applyBorder="true" applyAlignment="true">
      <alignment horizontal="center" vertical="center"/>
    </xf>
    <xf numFmtId="0" fontId="9" fillId="0" borderId="4" xfId="0" applyFont="true" applyBorder="true" applyAlignment="true">
      <alignment horizontal="center" vertical="center" wrapText="true"/>
    </xf>
    <xf numFmtId="0" fontId="3" fillId="0" borderId="4" xfId="0" applyFont="true" applyBorder="true" applyAlignment="true">
      <alignment vertical="center" wrapText="true"/>
    </xf>
    <xf numFmtId="49" fontId="6" fillId="0" borderId="4" xfId="27" applyNumberFormat="true" applyFont="true" applyBorder="true" applyAlignment="true">
      <alignment horizontal="left" vertical="center" wrapText="true" indent="1"/>
    </xf>
    <xf numFmtId="49" fontId="6" fillId="0" borderId="4" xfId="27" applyNumberFormat="true" applyFont="true" applyBorder="true" applyAlignment="true">
      <alignment horizontal="center" vertical="center" wrapText="true"/>
    </xf>
    <xf numFmtId="49" fontId="6" fillId="0" borderId="4" xfId="27" applyNumberFormat="true" applyFont="true" applyBorder="true" applyAlignment="true">
      <alignment horizontal="center" vertical="center" wrapText="true"/>
    </xf>
    <xf numFmtId="49" fontId="6" fillId="0" borderId="4" xfId="27" applyNumberFormat="true" applyFont="true" applyBorder="true" applyAlignment="true">
      <alignment horizontal="center" vertical="center" wrapText="true"/>
    </xf>
    <xf numFmtId="0" fontId="16" fillId="0" borderId="0" xfId="0" applyFont="true" applyBorder="true" applyAlignment="true" applyProtection="true">
      <alignment horizontal="center" vertical="center"/>
      <protection locked="false"/>
    </xf>
    <xf numFmtId="0" fontId="3" fillId="0" borderId="4" xfId="0" applyFont="true" applyBorder="true" applyAlignment="true">
      <alignment horizontal="center" vertical="center" wrapText="true"/>
    </xf>
    <xf numFmtId="0" fontId="3" fillId="0" borderId="4" xfId="0" applyFont="true" applyBorder="true" applyAlignment="true" applyProtection="true">
      <alignment horizontal="center" vertical="center"/>
      <protection locked="false"/>
    </xf>
    <xf numFmtId="49" fontId="6" fillId="0" borderId="4" xfId="27" applyNumberFormat="true" applyFont="true" applyBorder="true" applyAlignment="true">
      <alignment horizontal="left" vertical="center" wrapText="true"/>
    </xf>
    <xf numFmtId="49" fontId="6" fillId="0" borderId="4" xfId="27" applyNumberFormat="true" applyFont="true" applyBorder="true" applyAlignment="true">
      <alignment horizontal="left" vertical="center" wrapText="true"/>
    </xf>
    <xf numFmtId="49" fontId="6" fillId="0" borderId="4" xfId="27" applyNumberFormat="true" applyFont="true" applyBorder="true" applyAlignment="true">
      <alignment horizontal="left" vertical="center" wrapText="true"/>
    </xf>
    <xf numFmtId="0" fontId="17"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0" xfId="0" applyFont="true" applyBorder="true" applyAlignment="true">
      <alignment wrapText="true"/>
    </xf>
    <xf numFmtId="0" fontId="10" fillId="0" borderId="0" xfId="0" applyFont="true" applyBorder="true" applyAlignment="true">
      <alignment horizontal="right" wrapText="true"/>
    </xf>
    <xf numFmtId="0" fontId="9" fillId="0" borderId="8" xfId="0" applyFont="true" applyBorder="true" applyAlignment="true">
      <alignment horizontal="center" vertical="center" wrapText="true"/>
    </xf>
    <xf numFmtId="0" fontId="10" fillId="0" borderId="0" xfId="0" applyFont="true" applyBorder="true" applyAlignment="true">
      <alignment wrapText="true"/>
    </xf>
    <xf numFmtId="0" fontId="3" fillId="0" borderId="0" xfId="0" applyFont="true" applyBorder="true" applyAlignment="true" applyProtection="true">
      <alignment horizontal="right"/>
      <protection locked="false"/>
    </xf>
    <xf numFmtId="0" fontId="3" fillId="0" borderId="0" xfId="0" applyFont="true" applyBorder="true" applyAlignment="true">
      <alignment horizontal="right" vertical="center" wrapText="true"/>
    </xf>
    <xf numFmtId="0" fontId="8" fillId="0" borderId="0"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9"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10"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11" xfId="0" applyFont="true" applyBorder="true" applyAlignment="true">
      <alignment horizontal="center" vertical="center" wrapText="true"/>
    </xf>
    <xf numFmtId="0" fontId="4" fillId="0" borderId="11" xfId="0" applyFont="true" applyBorder="true" applyAlignment="true" applyProtection="true">
      <alignment horizontal="center" vertical="center" wrapText="true"/>
      <protection locked="false"/>
    </xf>
    <xf numFmtId="0" fontId="3" fillId="0" borderId="3" xfId="0" applyFont="true" applyBorder="true" applyAlignment="true">
      <alignment horizontal="left" vertical="center" wrapText="true"/>
    </xf>
    <xf numFmtId="0" fontId="3" fillId="0" borderId="11" xfId="0" applyFont="true" applyBorder="true" applyAlignment="true">
      <alignment horizontal="left" vertical="center" wrapText="true"/>
    </xf>
    <xf numFmtId="0" fontId="3" fillId="0" borderId="3" xfId="0" applyFont="true" applyBorder="true" applyAlignment="true">
      <alignment horizontal="left" vertical="center" wrapText="true" indent="1"/>
    </xf>
    <xf numFmtId="0" fontId="3" fillId="0" borderId="12" xfId="0" applyFont="true" applyBorder="true" applyAlignment="true">
      <alignment horizontal="center" vertical="center"/>
    </xf>
    <xf numFmtId="0" fontId="3" fillId="0" borderId="13" xfId="0" applyFont="true" applyBorder="true" applyAlignment="true">
      <alignment horizontal="left" vertical="center"/>
    </xf>
    <xf numFmtId="0" fontId="3" fillId="0" borderId="11" xfId="0" applyFont="true" applyBorder="true" applyAlignment="true">
      <alignment horizontal="left" vertical="center"/>
    </xf>
    <xf numFmtId="0" fontId="18" fillId="0" borderId="0" xfId="0" applyFont="true" applyBorder="true" applyAlignment="true" applyProtection="true">
      <alignment horizontal="right" vertical="center" wrapText="true"/>
      <protection locked="false"/>
    </xf>
    <xf numFmtId="0" fontId="8" fillId="0" borderId="0" xfId="0" applyFont="true" applyBorder="true" applyAlignment="true" applyProtection="true">
      <alignment horizontal="center" vertical="center" wrapText="true"/>
      <protection locked="false"/>
    </xf>
    <xf numFmtId="0" fontId="3" fillId="0" borderId="0" xfId="0" applyFont="true" applyBorder="true" applyAlignment="true" applyProtection="true">
      <alignment vertical="top" wrapText="true"/>
      <protection locked="false"/>
    </xf>
    <xf numFmtId="0" fontId="4" fillId="0" borderId="6" xfId="0" applyFont="true" applyBorder="true" applyAlignment="true" applyProtection="true">
      <alignment horizontal="center" vertical="center" wrapText="true"/>
      <protection locked="false"/>
    </xf>
    <xf numFmtId="0" fontId="4" fillId="0" borderId="10" xfId="0" applyFont="true" applyBorder="true" applyAlignment="true" applyProtection="true">
      <alignment horizontal="center" vertical="center" wrapText="true"/>
      <protection locked="false"/>
    </xf>
    <xf numFmtId="0" fontId="18" fillId="0" borderId="0" xfId="0" applyFont="true" applyBorder="true" applyAlignment="true" applyProtection="true">
      <alignment horizontal="right" vertical="center"/>
      <protection locked="false"/>
    </xf>
    <xf numFmtId="0" fontId="8" fillId="0" borderId="0" xfId="0" applyFont="true" applyBorder="true" applyAlignment="true" applyProtection="true">
      <alignment horizontal="center" vertical="center"/>
      <protection locked="false"/>
    </xf>
    <xf numFmtId="0" fontId="4" fillId="0" borderId="6" xfId="0" applyFont="true" applyBorder="true" applyAlignment="true" applyProtection="true">
      <alignment horizontal="center" vertical="center"/>
      <protection locked="false"/>
    </xf>
    <xf numFmtId="0" fontId="4" fillId="0" borderId="13" xfId="0" applyFont="true" applyBorder="true" applyAlignment="true">
      <alignment horizontal="center" vertical="center" wrapText="true"/>
    </xf>
    <xf numFmtId="0" fontId="4" fillId="0" borderId="13" xfId="0" applyFont="true" applyBorder="true" applyAlignment="true" applyProtection="true">
      <alignment horizontal="center" vertical="center"/>
      <protection locked="false"/>
    </xf>
    <xf numFmtId="0" fontId="4" fillId="0" borderId="4" xfId="0" applyFont="true" applyBorder="true" applyAlignment="true" applyProtection="true">
      <alignment horizontal="center" vertical="center" wrapText="true"/>
      <protection locked="false"/>
    </xf>
    <xf numFmtId="0" fontId="18" fillId="0" borderId="0" xfId="0" applyFont="true" applyBorder="true" applyAlignment="true">
      <alignment horizontal="right" vertical="center" wrapText="true"/>
    </xf>
    <xf numFmtId="0" fontId="3" fillId="0" borderId="0" xfId="0" applyFont="true" applyBorder="true" applyAlignment="true" applyProtection="true">
      <alignment horizontal="right" wrapText="true"/>
      <protection locked="false"/>
    </xf>
    <xf numFmtId="0" fontId="3" fillId="0" borderId="0" xfId="0" applyFont="true" applyBorder="true" applyAlignment="true">
      <alignment horizontal="right" wrapText="true"/>
    </xf>
    <xf numFmtId="0" fontId="4" fillId="0" borderId="7" xfId="0" applyFont="true" applyBorder="true" applyAlignment="true">
      <alignment horizontal="center" vertical="center" wrapText="true"/>
    </xf>
    <xf numFmtId="0" fontId="4" fillId="0" borderId="13" xfId="0" applyFont="true" applyBorder="true" applyAlignment="true" applyProtection="true">
      <alignment horizontal="center" vertical="center" wrapText="true"/>
      <protection locked="false"/>
    </xf>
    <xf numFmtId="0" fontId="3" fillId="0" borderId="0" xfId="0" applyFont="true" applyBorder="true" applyAlignment="true">
      <alignment horizontal="left" vertical="center"/>
    </xf>
    <xf numFmtId="0" fontId="9" fillId="0" borderId="9" xfId="0" applyFont="true" applyBorder="true" applyAlignment="true">
      <alignment horizontal="center" vertical="center" wrapText="true"/>
    </xf>
    <xf numFmtId="0" fontId="9" fillId="0" borderId="10" xfId="0" applyFont="true" applyBorder="true" applyAlignment="true">
      <alignment horizontal="center" vertical="center" wrapText="true"/>
    </xf>
    <xf numFmtId="0" fontId="9" fillId="0" borderId="11" xfId="0" applyFont="true" applyBorder="true" applyAlignment="true">
      <alignment horizontal="center" vertical="center" wrapText="true"/>
    </xf>
    <xf numFmtId="0" fontId="9" fillId="0" borderId="11" xfId="0" applyFont="true" applyBorder="true" applyAlignment="true">
      <alignment horizontal="center" vertical="center"/>
    </xf>
    <xf numFmtId="0" fontId="3" fillId="0" borderId="3" xfId="0" applyFont="true" applyBorder="true" applyAlignment="true">
      <alignment horizontal="left" vertical="center" wrapText="true" indent="2"/>
    </xf>
    <xf numFmtId="0" fontId="3" fillId="0" borderId="11" xfId="0" applyFont="true" applyBorder="true" applyAlignment="true">
      <alignment horizontal="center" vertical="center" wrapText="true"/>
    </xf>
    <xf numFmtId="0" fontId="9" fillId="0" borderId="6" xfId="0" applyFont="true" applyBorder="true" applyAlignment="true">
      <alignment horizontal="center" vertical="center" wrapText="true"/>
    </xf>
    <xf numFmtId="0" fontId="9" fillId="0" borderId="11" xfId="0" applyFont="true" applyBorder="true" applyAlignment="true" applyProtection="true">
      <alignment horizontal="center" vertical="center"/>
      <protection locked="false"/>
    </xf>
    <xf numFmtId="0" fontId="3" fillId="0" borderId="11" xfId="0" applyFont="true" applyBorder="true" applyAlignment="true">
      <alignment horizontal="right" vertical="center"/>
    </xf>
    <xf numFmtId="178" fontId="3" fillId="0" borderId="4" xfId="0" applyNumberFormat="true" applyFont="true" applyBorder="true" applyAlignment="true">
      <alignment horizontal="right" vertical="center"/>
    </xf>
    <xf numFmtId="176" fontId="6" fillId="0" borderId="4" xfId="1" applyNumberFormat="true" applyFont="true" applyBorder="true" applyAlignment="true">
      <alignment horizontal="center" vertical="center" wrapText="true"/>
    </xf>
    <xf numFmtId="0" fontId="9" fillId="0" borderId="6" xfId="0" applyFont="true" applyBorder="true" applyAlignment="true" applyProtection="true">
      <alignment horizontal="center" vertical="center" wrapText="true"/>
      <protection locked="false"/>
    </xf>
    <xf numFmtId="0" fontId="9" fillId="0" borderId="10" xfId="0" applyFont="true" applyBorder="true" applyAlignment="true" applyProtection="true">
      <alignment horizontal="center" vertical="center" wrapText="true"/>
      <protection locked="false"/>
    </xf>
    <xf numFmtId="0" fontId="9" fillId="0" borderId="13" xfId="0" applyFont="true" applyBorder="true" applyAlignment="true">
      <alignment horizontal="center" vertical="center" wrapText="true"/>
    </xf>
    <xf numFmtId="0" fontId="9" fillId="0" borderId="11" xfId="0" applyFont="true" applyBorder="true" applyAlignment="true" applyProtection="true">
      <alignment horizontal="center" vertical="center" wrapText="true"/>
      <protection locked="false"/>
    </xf>
    <xf numFmtId="0" fontId="9" fillId="0" borderId="6" xfId="0" applyFont="true" applyBorder="true" applyAlignment="true" applyProtection="true">
      <alignment horizontal="center" vertical="center"/>
      <protection locked="false"/>
    </xf>
    <xf numFmtId="0" fontId="9" fillId="0" borderId="13" xfId="0" applyFont="true" applyBorder="true" applyAlignment="true" applyProtection="true">
      <alignment horizontal="center" vertical="center"/>
      <protection locked="false"/>
    </xf>
    <xf numFmtId="0" fontId="9" fillId="0" borderId="13" xfId="0" applyFont="true" applyBorder="true" applyAlignment="true" applyProtection="true">
      <alignment horizontal="center" vertical="center" wrapText="true"/>
      <protection locked="false"/>
    </xf>
    <xf numFmtId="0" fontId="9" fillId="0" borderId="4" xfId="0" applyFont="true" applyBorder="true" applyAlignment="true" applyProtection="true">
      <alignment horizontal="center" vertical="center" wrapText="true"/>
      <protection locked="false"/>
    </xf>
    <xf numFmtId="0" fontId="3" fillId="0" borderId="0" xfId="0" applyFont="true" applyBorder="true" applyAlignment="true">
      <alignment horizontal="right"/>
    </xf>
    <xf numFmtId="0" fontId="9" fillId="0" borderId="7" xfId="0" applyFont="true" applyBorder="true" applyAlignment="true">
      <alignment horizontal="center" vertical="center" wrapText="true"/>
    </xf>
    <xf numFmtId="0" fontId="19" fillId="0" borderId="0" xfId="0" applyFont="true" applyBorder="true" applyAlignment="true"/>
    <xf numFmtId="0" fontId="3" fillId="0" borderId="0" xfId="0" applyFont="true" applyBorder="true" applyAlignment="true" applyProtection="true">
      <alignment horizontal="left" vertical="center" wrapText="true"/>
      <protection locked="false"/>
    </xf>
    <xf numFmtId="0" fontId="4" fillId="0" borderId="0" xfId="0" applyFont="true" applyBorder="true" applyAlignment="true">
      <alignment horizontal="left" vertical="center" wrapText="true"/>
    </xf>
    <xf numFmtId="0" fontId="10" fillId="0" borderId="4" xfId="0" applyFont="true" applyBorder="true" applyAlignment="true" applyProtection="true">
      <alignment horizontal="center" vertical="center" wrapText="true"/>
      <protection locked="false"/>
    </xf>
    <xf numFmtId="0" fontId="10" fillId="0" borderId="4" xfId="0" applyFont="true" applyBorder="true" applyAlignment="true">
      <alignment horizontal="center" vertical="center" wrapText="true"/>
    </xf>
    <xf numFmtId="178" fontId="6" fillId="0" borderId="4" xfId="5" applyNumberFormat="true" applyFont="true" applyBorder="true">
      <alignment horizontal="right" vertical="center"/>
    </xf>
    <xf numFmtId="0" fontId="10" fillId="0" borderId="0" xfId="0" applyFont="true" applyBorder="true" applyAlignment="true">
      <alignment horizontal="right" vertical="center"/>
    </xf>
    <xf numFmtId="0" fontId="10" fillId="0" borderId="0" xfId="0" applyFont="true" applyBorder="true" applyAlignment="true">
      <alignment horizontal="right"/>
    </xf>
    <xf numFmtId="0" fontId="17" fillId="0" borderId="0" xfId="0" applyFont="true" applyBorder="true" applyAlignment="true">
      <alignment horizontal="center" vertical="center"/>
    </xf>
    <xf numFmtId="0" fontId="3" fillId="0" borderId="0" xfId="0" applyFont="true" applyBorder="true" applyAlignment="true" applyProtection="true">
      <alignment horizontal="right" vertical="center"/>
      <protection locked="false"/>
    </xf>
    <xf numFmtId="49" fontId="6" fillId="0" borderId="4" xfId="27" applyNumberFormat="true" applyFont="true" applyBorder="true" applyAlignment="true">
      <alignment horizontal="left" vertical="center" wrapText="true"/>
    </xf>
    <xf numFmtId="49" fontId="6" fillId="0" borderId="4" xfId="27" applyNumberFormat="true" applyFont="true" applyBorder="true" applyAlignment="true">
      <alignment horizontal="left" vertical="center" wrapText="true"/>
    </xf>
    <xf numFmtId="0" fontId="6" fillId="0" borderId="0" xfId="0" applyFont="true" applyBorder="true" applyAlignment="true">
      <alignment horizontal="left" vertical="center"/>
    </xf>
    <xf numFmtId="0" fontId="10" fillId="0" borderId="4" xfId="0" applyFont="true" applyBorder="true" applyAlignment="true">
      <alignment horizontal="center" vertical="center"/>
    </xf>
    <xf numFmtId="49" fontId="6" fillId="0" borderId="4" xfId="0" applyNumberFormat="true" applyFont="true" applyBorder="true" applyAlignment="true">
      <alignment horizontal="left" vertical="center" wrapText="true"/>
    </xf>
    <xf numFmtId="49" fontId="10" fillId="0" borderId="0" xfId="0" applyNumberFormat="true" applyFont="true" applyBorder="true" applyAlignment="true"/>
    <xf numFmtId="0" fontId="1" fillId="0" borderId="4" xfId="0" applyFont="true" applyBorder="true" applyAlignment="true">
      <alignment horizontal="center" vertical="center" wrapText="true"/>
    </xf>
    <xf numFmtId="0" fontId="10" fillId="0" borderId="0" xfId="0" applyFont="true" applyBorder="true">
      <alignment vertical="top"/>
    </xf>
    <xf numFmtId="49" fontId="13" fillId="0" borderId="14" xfId="27" applyNumberFormat="true" applyFont="true" applyBorder="true" applyAlignment="true">
      <alignment horizontal="center" vertical="center" wrapText="true"/>
    </xf>
    <xf numFmtId="49" fontId="13" fillId="0" borderId="15" xfId="27" applyNumberFormat="true" applyFont="true" applyBorder="true" applyAlignment="true">
      <alignment horizontal="center" vertical="center" wrapText="true"/>
    </xf>
    <xf numFmtId="49" fontId="11" fillId="0" borderId="15" xfId="27" applyNumberFormat="true" applyFont="true" applyBorder="true" applyAlignment="true">
      <alignment horizontal="center" vertical="center" wrapText="true"/>
    </xf>
    <xf numFmtId="0" fontId="0" fillId="0" borderId="15" xfId="0" applyFont="true" applyBorder="true">
      <alignment vertical="top"/>
    </xf>
    <xf numFmtId="49" fontId="11" fillId="0" borderId="15" xfId="27" applyNumberFormat="true" applyFont="true" applyBorder="true">
      <alignment horizontal="left" vertical="center" wrapText="true"/>
    </xf>
    <xf numFmtId="49" fontId="11" fillId="0" borderId="16" xfId="27" applyNumberFormat="true" applyFont="true" applyBorder="true">
      <alignment horizontal="left" vertical="center" wrapText="true"/>
    </xf>
    <xf numFmtId="49" fontId="11" fillId="0" borderId="4" xfId="27" applyNumberFormat="true" applyFont="true" applyBorder="true">
      <alignment horizontal="left" vertical="center" wrapText="true"/>
    </xf>
    <xf numFmtId="178" fontId="11" fillId="0" borderId="15" xfId="27" applyNumberFormat="true" applyFont="true" applyBorder="true" applyAlignment="true">
      <alignment horizontal="right" vertical="center" wrapText="true"/>
    </xf>
    <xf numFmtId="178" fontId="11" fillId="0" borderId="16" xfId="27" applyNumberFormat="true" applyFont="true" applyBorder="true" applyAlignment="true">
      <alignment horizontal="right" vertical="center" wrapText="true"/>
    </xf>
    <xf numFmtId="178" fontId="11" fillId="0" borderId="4" xfId="27" applyNumberFormat="true" applyFont="true" applyBorder="true" applyAlignment="true">
      <alignment horizontal="right" vertical="center" wrapText="true"/>
    </xf>
    <xf numFmtId="178" fontId="11" fillId="0" borderId="15" xfId="0" applyNumberFormat="true" applyFont="true" applyBorder="true" applyAlignment="true">
      <alignment horizontal="right" vertical="center" wrapText="true"/>
    </xf>
    <xf numFmtId="178" fontId="11" fillId="0" borderId="16" xfId="0" applyNumberFormat="true" applyFont="true" applyBorder="true" applyAlignment="true">
      <alignment horizontal="right" vertical="center" wrapText="true"/>
    </xf>
    <xf numFmtId="49" fontId="11" fillId="0" borderId="4" xfId="27" applyNumberFormat="true" applyFont="true" applyBorder="true" applyAlignment="true">
      <alignment horizontal="left" vertical="center" wrapText="true" indent="2"/>
    </xf>
    <xf numFmtId="49" fontId="11" fillId="0" borderId="4" xfId="27" applyNumberFormat="true" applyFont="true" applyBorder="true" applyAlignment="true">
      <alignment horizontal="center" vertical="center" wrapText="true"/>
    </xf>
    <xf numFmtId="176" fontId="11" fillId="0" borderId="15" xfId="1" applyNumberFormat="true" applyFont="true" applyBorder="true" applyAlignment="true">
      <alignment horizontal="center" vertical="center" wrapText="true"/>
    </xf>
    <xf numFmtId="49" fontId="20" fillId="0" borderId="0" xfId="27" applyNumberFormat="true" applyFont="true" applyBorder="true" applyAlignment="true">
      <alignment horizontal="right" vertical="center" wrapText="true"/>
    </xf>
    <xf numFmtId="49" fontId="11" fillId="0" borderId="15" xfId="27" applyNumberFormat="true" applyFont="true" applyBorder="true" applyAlignment="true">
      <alignment horizontal="left" vertical="center" wrapText="true" indent="2"/>
    </xf>
    <xf numFmtId="49" fontId="11" fillId="0" borderId="15" xfId="27" applyNumberFormat="true" applyFont="true" applyBorder="true" applyAlignment="true">
      <alignment horizontal="left" vertical="center" wrapText="true" indent="4"/>
    </xf>
    <xf numFmtId="49" fontId="11" fillId="0" borderId="16" xfId="27" applyNumberFormat="true" applyFont="true" applyBorder="true" applyAlignment="true">
      <alignment horizontal="left" vertical="center" wrapText="true" indent="2"/>
    </xf>
    <xf numFmtId="49" fontId="11" fillId="0" borderId="4" xfId="27" applyNumberFormat="true" applyFont="true" applyBorder="true" applyAlignment="true">
      <alignment horizontal="left" vertical="center" wrapText="true" indent="4"/>
    </xf>
    <xf numFmtId="49" fontId="21" fillId="0" borderId="0" xfId="0" applyNumberFormat="true" applyFont="true" applyBorder="true" applyAlignment="true">
      <alignment horizontal="right" vertical="center" wrapText="true"/>
    </xf>
    <xf numFmtId="49" fontId="12" fillId="0" borderId="0" xfId="0" applyNumberFormat="true" applyFont="true" applyBorder="true" applyAlignment="true">
      <alignment horizontal="center" vertical="center" wrapText="true"/>
    </xf>
    <xf numFmtId="49" fontId="13" fillId="0" borderId="14" xfId="0" applyNumberFormat="true" applyFont="true" applyBorder="true" applyAlignment="true">
      <alignment horizontal="center" vertical="center" wrapText="true"/>
    </xf>
    <xf numFmtId="49" fontId="13" fillId="0" borderId="15" xfId="0" applyNumberFormat="true" applyFont="true" applyBorder="true" applyAlignment="true">
      <alignment horizontal="center" vertical="center" wrapText="true"/>
    </xf>
    <xf numFmtId="49" fontId="21" fillId="0" borderId="15" xfId="27" applyNumberFormat="true" applyFont="true" applyBorder="true">
      <alignment horizontal="left" vertical="center" wrapText="true"/>
    </xf>
    <xf numFmtId="178" fontId="11" fillId="0" borderId="15" xfId="0" applyNumberFormat="true" applyFont="true" applyBorder="true" applyAlignment="true">
      <alignment horizontal="right" vertical="center"/>
    </xf>
    <xf numFmtId="178" fontId="21" fillId="0" borderId="15" xfId="0" applyNumberFormat="true" applyFont="true" applyBorder="true" applyAlignment="true">
      <alignment horizontal="left" vertical="center"/>
    </xf>
    <xf numFmtId="178" fontId="11" fillId="0" borderId="15" xfId="5" applyNumberFormat="true" applyFont="true" applyBorder="true">
      <alignment horizontal="right" vertical="center"/>
    </xf>
    <xf numFmtId="178" fontId="11" fillId="0" borderId="15" xfId="0" applyNumberFormat="true" applyFont="true" applyBorder="true" applyAlignment="true">
      <alignment horizontal="left" vertical="center"/>
    </xf>
    <xf numFmtId="49" fontId="11" fillId="0" borderId="15" xfId="0" applyNumberFormat="true" applyFont="true" applyBorder="true" applyAlignment="true">
      <alignment horizontal="left" vertical="center" wrapText="true"/>
    </xf>
    <xf numFmtId="178" fontId="11" fillId="0" borderId="16" xfId="0" applyNumberFormat="true" applyFont="true" applyBorder="true" applyAlignment="true">
      <alignment horizontal="left" vertical="center"/>
    </xf>
    <xf numFmtId="178" fontId="11" fillId="0" borderId="16" xfId="5" applyNumberFormat="true" applyFont="true" applyBorder="true">
      <alignment horizontal="right" vertical="center"/>
    </xf>
    <xf numFmtId="49" fontId="21" fillId="0" borderId="4" xfId="0" applyNumberFormat="true" applyFont="true" applyBorder="true" applyAlignment="true">
      <alignment horizontal="center" vertical="center" wrapText="true"/>
    </xf>
    <xf numFmtId="178" fontId="11" fillId="0" borderId="4" xfId="5" applyNumberFormat="true" applyFont="true" applyBorder="true">
      <alignment horizontal="right" vertical="center"/>
    </xf>
    <xf numFmtId="49" fontId="11" fillId="0" borderId="16" xfId="27" applyNumberFormat="true" applyFont="true" applyBorder="true" applyAlignment="true">
      <alignment horizontal="left" vertical="center" wrapText="true" indent="4"/>
    </xf>
    <xf numFmtId="49" fontId="21" fillId="0" borderId="15" xfId="0" applyNumberFormat="true" applyFont="true" applyBorder="true" applyAlignment="true">
      <alignment horizontal="center" vertical="center" wrapText="true"/>
    </xf>
  </cellXfs>
  <cellStyles count="57">
    <cellStyle name="常规" xfId="0" builtinId="0"/>
    <cellStyle name="IntegralNumberStyle" xfId="1"/>
    <cellStyle name="PercentStyle" xfId="2"/>
    <cellStyle name="DateTimeStyle" xfId="3"/>
    <cellStyle name="TimeStyle" xfId="4"/>
    <cellStyle name="MoneyStyle" xfId="5"/>
    <cellStyle name="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20"/>
  <sheetViews>
    <sheetView showZeros="0" tabSelected="1" workbookViewId="0">
      <selection activeCell="C27" sqref="C27"/>
    </sheetView>
  </sheetViews>
  <sheetFormatPr defaultColWidth="8.85" defaultRowHeight="15" customHeight="true" outlineLevelCol="3"/>
  <cols>
    <col min="1" max="2" width="28.575" customWidth="true"/>
    <col min="3" max="3" width="35.7" customWidth="true"/>
    <col min="4" max="4" width="28.575" customWidth="true"/>
  </cols>
  <sheetData>
    <row r="1" ht="18.75" customHeight="true" spans="1:4">
      <c r="A1" s="56" t="s">
        <v>0</v>
      </c>
      <c r="B1" s="179"/>
      <c r="C1" s="179"/>
      <c r="D1" s="179"/>
    </row>
    <row r="2" ht="28.5" customHeight="true" spans="1:4">
      <c r="A2" s="180" t="s">
        <v>1</v>
      </c>
      <c r="B2" s="180"/>
      <c r="C2" s="180"/>
      <c r="D2" s="180"/>
    </row>
    <row r="3" ht="18.75" customHeight="true" spans="1:4">
      <c r="A3" s="58" t="str">
        <f>"单位名称："&amp;"玉溪市卫生健康委员会"</f>
        <v>单位名称：玉溪市卫生健康委员会</v>
      </c>
      <c r="B3" s="58"/>
      <c r="C3" s="58"/>
      <c r="D3" s="56" t="s">
        <v>2</v>
      </c>
    </row>
    <row r="4" ht="18.75" customHeight="true" spans="1:4">
      <c r="A4" s="159" t="s">
        <v>3</v>
      </c>
      <c r="B4" s="159"/>
      <c r="C4" s="159" t="s">
        <v>4</v>
      </c>
      <c r="D4" s="159"/>
    </row>
    <row r="5" ht="18.75" customHeight="true" spans="1:4">
      <c r="A5" s="160" t="s">
        <v>5</v>
      </c>
      <c r="B5" s="160" t="s">
        <v>6</v>
      </c>
      <c r="C5" s="160" t="s">
        <v>7</v>
      </c>
      <c r="D5" s="160" t="s">
        <v>6</v>
      </c>
    </row>
    <row r="6" ht="18.75" customHeight="true" spans="1:4">
      <c r="A6" s="163" t="s">
        <v>8</v>
      </c>
      <c r="B6" s="186">
        <v>453010604.83</v>
      </c>
      <c r="C6" s="187" t="str">
        <f>"一"&amp;"、"&amp;"一般公共服务支出"</f>
        <v>一、一般公共服务支出</v>
      </c>
      <c r="D6" s="186">
        <v>882232</v>
      </c>
    </row>
    <row r="7" ht="18.75" customHeight="true" spans="1:4">
      <c r="A7" s="163" t="s">
        <v>9</v>
      </c>
      <c r="B7" s="186"/>
      <c r="C7" s="187" t="str">
        <f>"一"&amp;"、"&amp;"科学技术支出"</f>
        <v>一、科学技术支出</v>
      </c>
      <c r="D7" s="186">
        <v>3616144.7</v>
      </c>
    </row>
    <row r="8" ht="18.75" customHeight="true" spans="1:4">
      <c r="A8" s="163" t="s">
        <v>10</v>
      </c>
      <c r="B8" s="186"/>
      <c r="C8" s="187" t="str">
        <f>"二"&amp;"、"&amp;"社会保障和就业支出"</f>
        <v>二、社会保障和就业支出</v>
      </c>
      <c r="D8" s="186">
        <v>104188986.59</v>
      </c>
    </row>
    <row r="9" ht="18.75" customHeight="true" spans="1:4">
      <c r="A9" s="163" t="s">
        <v>11</v>
      </c>
      <c r="B9" s="186"/>
      <c r="C9" s="187" t="str">
        <f>"三"&amp;"、"&amp;"卫生健康支出"</f>
        <v>三、卫生健康支出</v>
      </c>
      <c r="D9" s="186">
        <v>2533631922.22</v>
      </c>
    </row>
    <row r="10" ht="18.75" customHeight="true" spans="1:4">
      <c r="A10" s="163" t="s">
        <v>12</v>
      </c>
      <c r="B10" s="186">
        <v>2482805282.85</v>
      </c>
      <c r="C10" s="187" t="str">
        <f>"四"&amp;"、"&amp;"商业服务业等支出"</f>
        <v>四、商业服务业等支出</v>
      </c>
      <c r="D10" s="186">
        <v>195407400</v>
      </c>
    </row>
    <row r="11" ht="18.75" customHeight="true" spans="1:4">
      <c r="A11" s="163" t="s">
        <v>13</v>
      </c>
      <c r="B11" s="186">
        <v>2482800182.85</v>
      </c>
      <c r="C11" s="187" t="str">
        <f>"五"&amp;"、"&amp;"住房保障支出"</f>
        <v>五、住房保障支出</v>
      </c>
      <c r="D11" s="186">
        <v>56625986</v>
      </c>
    </row>
    <row r="12" ht="18.75" customHeight="true" spans="1:4">
      <c r="A12" s="163" t="s">
        <v>14</v>
      </c>
      <c r="B12" s="186"/>
      <c r="C12" s="187" t="str">
        <f>"六"&amp;"、"&amp;"其他支出"</f>
        <v>六、其他支出</v>
      </c>
      <c r="D12" s="186">
        <v>7323200</v>
      </c>
    </row>
    <row r="13" ht="18.75" customHeight="true" spans="1:4">
      <c r="A13" s="163" t="s">
        <v>15</v>
      </c>
      <c r="B13" s="186"/>
      <c r="C13" s="187" t="str">
        <f>"七"&amp;"、"&amp;"转移性支出"</f>
        <v>七、转移性支出</v>
      </c>
      <c r="D13" s="186">
        <v>247054700</v>
      </c>
    </row>
    <row r="14" ht="18.75" customHeight="true" spans="1:4">
      <c r="A14" s="163" t="s">
        <v>16</v>
      </c>
      <c r="B14" s="186"/>
      <c r="C14" s="187" t="str">
        <f>"八"&amp;"、"&amp;"债务付息支出"</f>
        <v>八、债务付息支出</v>
      </c>
      <c r="D14" s="186">
        <v>8120500</v>
      </c>
    </row>
    <row r="15" ht="18.75" customHeight="true" spans="1:4">
      <c r="A15" s="163" t="s">
        <v>17</v>
      </c>
      <c r="B15" s="186">
        <v>5100</v>
      </c>
      <c r="C15" s="163"/>
      <c r="D15" s="163"/>
    </row>
    <row r="16" ht="18.75" customHeight="true" spans="1:4">
      <c r="A16" s="194" t="s">
        <v>18</v>
      </c>
      <c r="B16" s="186">
        <v>2935815887.68</v>
      </c>
      <c r="C16" s="194" t="s">
        <v>19</v>
      </c>
      <c r="D16" s="186">
        <v>3156851071.51</v>
      </c>
    </row>
    <row r="17" ht="18.75" customHeight="true" spans="1:4">
      <c r="A17" s="183" t="s">
        <v>20</v>
      </c>
      <c r="B17" s="163"/>
      <c r="C17" s="183" t="s">
        <v>21</v>
      </c>
      <c r="D17" s="163"/>
    </row>
    <row r="18" ht="18.75" customHeight="true" spans="1:4">
      <c r="A18" s="188" t="s">
        <v>22</v>
      </c>
      <c r="B18" s="186">
        <v>116558016.84</v>
      </c>
      <c r="C18" s="188" t="s">
        <v>22</v>
      </c>
      <c r="D18" s="186"/>
    </row>
    <row r="19" ht="18.75" customHeight="true" spans="1:4">
      <c r="A19" s="188" t="s">
        <v>23</v>
      </c>
      <c r="B19" s="186">
        <v>104477166.99</v>
      </c>
      <c r="C19" s="188" t="s">
        <v>23</v>
      </c>
      <c r="D19" s="186"/>
    </row>
    <row r="20" ht="18.75" customHeight="true" spans="1:4">
      <c r="A20" s="194" t="s">
        <v>24</v>
      </c>
      <c r="B20" s="186">
        <v>3156851071.51</v>
      </c>
      <c r="C20" s="194" t="s">
        <v>25</v>
      </c>
      <c r="D20" s="186">
        <v>3156851071.51</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9"/>
  <sheetViews>
    <sheetView showZeros="0" tabSelected="1" topLeftCell="B1" workbookViewId="0">
      <selection activeCell="C27" sqref="C27"/>
    </sheetView>
  </sheetViews>
  <sheetFormatPr defaultColWidth="9.14166666666667" defaultRowHeight="14.25" customHeight="true" outlineLevelCol="5"/>
  <cols>
    <col min="1" max="1" width="29.0333333333333" customWidth="true"/>
    <col min="2" max="2" width="28.6" customWidth="true"/>
    <col min="3" max="3" width="31.6" customWidth="true"/>
    <col min="4" max="6" width="33.45" customWidth="true"/>
  </cols>
  <sheetData>
    <row r="1" ht="15.75" customHeight="true" spans="2:6">
      <c r="B1" s="141"/>
      <c r="F1" s="147" t="s">
        <v>1487</v>
      </c>
    </row>
    <row r="2" ht="28.5" customHeight="true" spans="1:6">
      <c r="A2" s="33" t="s">
        <v>1488</v>
      </c>
      <c r="B2" s="33"/>
      <c r="C2" s="33"/>
      <c r="D2" s="33"/>
      <c r="E2" s="33"/>
      <c r="F2" s="33"/>
    </row>
    <row r="3" ht="15" customHeight="true" spans="1:6">
      <c r="A3" s="142" t="str">
        <f>"单位名称："&amp;"玉溪市卫生健康委员会"</f>
        <v>单位名称：玉溪市卫生健康委员会</v>
      </c>
      <c r="B3" s="143"/>
      <c r="C3" s="143"/>
      <c r="D3" s="82"/>
      <c r="E3" s="82"/>
      <c r="F3" s="148" t="s">
        <v>1489</v>
      </c>
    </row>
    <row r="4" ht="18.75" customHeight="true" spans="1:6">
      <c r="A4" s="35" t="s">
        <v>197</v>
      </c>
      <c r="B4" s="35" t="s">
        <v>88</v>
      </c>
      <c r="C4" s="35" t="s">
        <v>89</v>
      </c>
      <c r="D4" s="45" t="s">
        <v>1490</v>
      </c>
      <c r="E4" s="40"/>
      <c r="F4" s="40"/>
    </row>
    <row r="5" ht="30" customHeight="true" spans="1:6">
      <c r="A5" s="47"/>
      <c r="B5" s="47"/>
      <c r="C5" s="47"/>
      <c r="D5" s="45" t="s">
        <v>30</v>
      </c>
      <c r="E5" s="40" t="s">
        <v>92</v>
      </c>
      <c r="F5" s="40" t="s">
        <v>93</v>
      </c>
    </row>
    <row r="6" ht="16.5" customHeight="true" spans="1:6">
      <c r="A6" s="40">
        <v>1</v>
      </c>
      <c r="B6" s="40">
        <v>2</v>
      </c>
      <c r="C6" s="40">
        <v>3</v>
      </c>
      <c r="D6" s="40">
        <v>4</v>
      </c>
      <c r="E6" s="40">
        <v>5</v>
      </c>
      <c r="F6" s="40">
        <v>6</v>
      </c>
    </row>
    <row r="7" ht="20.25" customHeight="true" spans="1:6">
      <c r="A7" s="41"/>
      <c r="B7" s="41"/>
      <c r="C7" s="41"/>
      <c r="D7" s="30"/>
      <c r="E7" s="146"/>
      <c r="F7" s="146"/>
    </row>
    <row r="8" ht="17.25" customHeight="true" spans="1:6">
      <c r="A8" s="144" t="s">
        <v>908</v>
      </c>
      <c r="B8" s="145"/>
      <c r="C8" s="145" t="s">
        <v>908</v>
      </c>
      <c r="D8" s="146"/>
      <c r="E8" s="146"/>
      <c r="F8" s="146"/>
    </row>
    <row r="9" customHeight="true" spans="2:2">
      <c r="B9" t="s">
        <v>1491</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Q249"/>
  <sheetViews>
    <sheetView showZeros="0" tabSelected="1" topLeftCell="A178" workbookViewId="0">
      <selection activeCell="C27" sqref="C27"/>
    </sheetView>
  </sheetViews>
  <sheetFormatPr defaultColWidth="9.14166666666667" defaultRowHeight="14.25" customHeight="true"/>
  <cols>
    <col min="1" max="1" width="33.625" customWidth="true"/>
    <col min="2" max="2" width="36.625" customWidth="true"/>
    <col min="3" max="3" width="32.875" customWidth="true"/>
    <col min="4" max="4" width="7.70833333333333" customWidth="true"/>
    <col min="5" max="5" width="10.2833333333333" customWidth="true"/>
    <col min="6" max="6" width="14.8416666666667" customWidth="true"/>
    <col min="7" max="7" width="14.1333333333333" customWidth="true"/>
    <col min="8" max="11" width="14.7416666666667" customWidth="true"/>
    <col min="12" max="16" width="12.575" customWidth="true"/>
    <col min="17" max="17" width="10.425" customWidth="true"/>
  </cols>
  <sheetData>
    <row r="1" ht="13.5" customHeight="true" spans="1:17">
      <c r="A1" s="31" t="s">
        <v>1492</v>
      </c>
      <c r="B1" s="31"/>
      <c r="C1" s="31"/>
      <c r="D1" s="31"/>
      <c r="E1" s="31"/>
      <c r="F1" s="31"/>
      <c r="G1" s="31"/>
      <c r="H1" s="31"/>
      <c r="I1" s="31"/>
      <c r="J1" s="31"/>
      <c r="K1" s="31"/>
      <c r="L1" s="31"/>
      <c r="M1" s="31"/>
      <c r="N1" s="31"/>
      <c r="O1" s="50"/>
      <c r="P1" s="50"/>
      <c r="Q1" s="31"/>
    </row>
    <row r="2" ht="27.75" customHeight="true" spans="1:17">
      <c r="A2" s="80" t="s">
        <v>1493</v>
      </c>
      <c r="B2" s="33"/>
      <c r="C2" s="33"/>
      <c r="D2" s="33"/>
      <c r="E2" s="33"/>
      <c r="F2" s="33"/>
      <c r="G2" s="33"/>
      <c r="H2" s="33"/>
      <c r="I2" s="33"/>
      <c r="J2" s="33"/>
      <c r="K2" s="109"/>
      <c r="L2" s="33"/>
      <c r="M2" s="33"/>
      <c r="N2" s="33"/>
      <c r="O2" s="109"/>
      <c r="P2" s="109"/>
      <c r="Q2" s="33"/>
    </row>
    <row r="3" ht="18.75" customHeight="true" spans="1:17">
      <c r="A3" s="119" t="str">
        <f>"单位名称："&amp;"玉溪市卫生健康委员会"</f>
        <v>单位名称：玉溪市卫生健康委员会</v>
      </c>
      <c r="B3" s="23"/>
      <c r="C3" s="23"/>
      <c r="D3" s="23"/>
      <c r="E3" s="23"/>
      <c r="F3" s="23"/>
      <c r="G3" s="23"/>
      <c r="H3" s="23"/>
      <c r="I3" s="23"/>
      <c r="J3" s="23"/>
      <c r="O3" s="86"/>
      <c r="P3" s="86"/>
      <c r="Q3" s="139" t="s">
        <v>2</v>
      </c>
    </row>
    <row r="4" ht="15.75" customHeight="true" spans="1:17">
      <c r="A4" s="35" t="s">
        <v>1494</v>
      </c>
      <c r="B4" s="120" t="s">
        <v>1495</v>
      </c>
      <c r="C4" s="120" t="s">
        <v>1496</v>
      </c>
      <c r="D4" s="120" t="s">
        <v>1497</v>
      </c>
      <c r="E4" s="120" t="s">
        <v>1498</v>
      </c>
      <c r="F4" s="120" t="s">
        <v>1499</v>
      </c>
      <c r="G4" s="126" t="s">
        <v>204</v>
      </c>
      <c r="H4" s="126"/>
      <c r="I4" s="126"/>
      <c r="J4" s="126"/>
      <c r="K4" s="131"/>
      <c r="L4" s="126"/>
      <c r="M4" s="126"/>
      <c r="N4" s="126"/>
      <c r="O4" s="135"/>
      <c r="P4" s="131"/>
      <c r="Q4" s="140"/>
    </row>
    <row r="5" ht="17.25" customHeight="true" spans="1:17">
      <c r="A5" s="37"/>
      <c r="B5" s="121"/>
      <c r="C5" s="121"/>
      <c r="D5" s="121"/>
      <c r="E5" s="121"/>
      <c r="F5" s="121"/>
      <c r="G5" s="121" t="s">
        <v>30</v>
      </c>
      <c r="H5" s="121" t="s">
        <v>33</v>
      </c>
      <c r="I5" s="121" t="s">
        <v>1500</v>
      </c>
      <c r="J5" s="121" t="s">
        <v>1501</v>
      </c>
      <c r="K5" s="132" t="s">
        <v>1502</v>
      </c>
      <c r="L5" s="133" t="s">
        <v>1503</v>
      </c>
      <c r="M5" s="133"/>
      <c r="N5" s="133"/>
      <c r="O5" s="136"/>
      <c r="P5" s="137"/>
      <c r="Q5" s="122"/>
    </row>
    <row r="6" ht="54" customHeight="true" spans="1:17">
      <c r="A6" s="39"/>
      <c r="B6" s="122"/>
      <c r="C6" s="122"/>
      <c r="D6" s="122"/>
      <c r="E6" s="122"/>
      <c r="F6" s="122"/>
      <c r="G6" s="122"/>
      <c r="H6" s="122" t="s">
        <v>32</v>
      </c>
      <c r="I6" s="122"/>
      <c r="J6" s="122"/>
      <c r="K6" s="134"/>
      <c r="L6" s="122" t="s">
        <v>32</v>
      </c>
      <c r="M6" s="122" t="s">
        <v>39</v>
      </c>
      <c r="N6" s="122" t="s">
        <v>211</v>
      </c>
      <c r="O6" s="138" t="s">
        <v>41</v>
      </c>
      <c r="P6" s="134" t="s">
        <v>42</v>
      </c>
      <c r="Q6" s="122" t="s">
        <v>43</v>
      </c>
    </row>
    <row r="7" ht="15" customHeight="true" spans="1:17">
      <c r="A7" s="47">
        <v>1</v>
      </c>
      <c r="B7" s="123">
        <v>2</v>
      </c>
      <c r="C7" s="123">
        <v>3</v>
      </c>
      <c r="D7" s="123">
        <v>4</v>
      </c>
      <c r="E7" s="123">
        <v>5</v>
      </c>
      <c r="F7" s="123">
        <v>6</v>
      </c>
      <c r="G7" s="127">
        <v>7</v>
      </c>
      <c r="H7" s="127">
        <v>8</v>
      </c>
      <c r="I7" s="127">
        <v>9</v>
      </c>
      <c r="J7" s="127">
        <v>10</v>
      </c>
      <c r="K7" s="127">
        <v>11</v>
      </c>
      <c r="L7" s="127">
        <v>12</v>
      </c>
      <c r="M7" s="127">
        <v>13</v>
      </c>
      <c r="N7" s="127">
        <v>14</v>
      </c>
      <c r="O7" s="127">
        <v>15</v>
      </c>
      <c r="P7" s="127">
        <v>16</v>
      </c>
      <c r="Q7" s="127">
        <v>17</v>
      </c>
    </row>
    <row r="8" ht="21" customHeight="true" spans="1:17">
      <c r="A8" s="97" t="s">
        <v>64</v>
      </c>
      <c r="B8" s="98"/>
      <c r="C8" s="98"/>
      <c r="D8" s="98"/>
      <c r="E8" s="128"/>
      <c r="F8" s="129">
        <v>38284900</v>
      </c>
      <c r="G8" s="48">
        <v>237338561</v>
      </c>
      <c r="H8" s="48">
        <v>910200</v>
      </c>
      <c r="I8" s="48"/>
      <c r="J8" s="48"/>
      <c r="K8" s="48"/>
      <c r="L8" s="48">
        <v>236428361</v>
      </c>
      <c r="M8" s="48">
        <v>236428361</v>
      </c>
      <c r="N8" s="48"/>
      <c r="O8" s="48"/>
      <c r="P8" s="48"/>
      <c r="Q8" s="48"/>
    </row>
    <row r="9" ht="21" customHeight="true" spans="1:17">
      <c r="A9" s="124" t="s">
        <v>64</v>
      </c>
      <c r="B9" s="98"/>
      <c r="C9" s="98"/>
      <c r="D9" s="125"/>
      <c r="E9" s="130"/>
      <c r="F9" s="129">
        <v>396500</v>
      </c>
      <c r="G9" s="48">
        <v>485900</v>
      </c>
      <c r="H9" s="48">
        <v>485900</v>
      </c>
      <c r="I9" s="48"/>
      <c r="J9" s="48"/>
      <c r="K9" s="48"/>
      <c r="L9" s="48"/>
      <c r="M9" s="48"/>
      <c r="N9" s="48"/>
      <c r="O9" s="48"/>
      <c r="P9" s="48"/>
      <c r="Q9" s="48"/>
    </row>
    <row r="10" ht="21" customHeight="true" spans="1:17">
      <c r="A10" s="97" t="str">
        <f>"      "&amp;"公车购置及运维费"</f>
        <v>      公车购置及运维费</v>
      </c>
      <c r="B10" s="98" t="s">
        <v>1504</v>
      </c>
      <c r="C10" s="98" t="str">
        <f>"C23120301"&amp;"  "&amp;"车辆维修和保养服务"</f>
        <v>C23120301  车辆维修和保养服务</v>
      </c>
      <c r="D10" s="125" t="s">
        <v>1505</v>
      </c>
      <c r="E10" s="130">
        <v>1</v>
      </c>
      <c r="F10" s="30">
        <v>1600</v>
      </c>
      <c r="G10" s="48">
        <v>1600</v>
      </c>
      <c r="H10" s="48">
        <v>1600</v>
      </c>
      <c r="I10" s="48"/>
      <c r="J10" s="48"/>
      <c r="K10" s="48"/>
      <c r="L10" s="48"/>
      <c r="M10" s="48"/>
      <c r="N10" s="48"/>
      <c r="O10" s="48"/>
      <c r="P10" s="48"/>
      <c r="Q10" s="48"/>
    </row>
    <row r="11" ht="21" customHeight="true" spans="1:17">
      <c r="A11" s="97" t="str">
        <f>"      "&amp;"公车购置及运维费"</f>
        <v>      公车购置及运维费</v>
      </c>
      <c r="B11" s="98" t="s">
        <v>1506</v>
      </c>
      <c r="C11" s="98" t="str">
        <f>"C1804010201"&amp;"  "&amp;"机动车保险服务"</f>
        <v>C1804010201  机动车保险服务</v>
      </c>
      <c r="D11" s="125" t="s">
        <v>1505</v>
      </c>
      <c r="E11" s="130">
        <v>1</v>
      </c>
      <c r="F11" s="30">
        <v>7000</v>
      </c>
      <c r="G11" s="48">
        <v>7000</v>
      </c>
      <c r="H11" s="48">
        <v>7000</v>
      </c>
      <c r="I11" s="48"/>
      <c r="J11" s="48"/>
      <c r="K11" s="48"/>
      <c r="L11" s="48"/>
      <c r="M11" s="48"/>
      <c r="N11" s="48"/>
      <c r="O11" s="48"/>
      <c r="P11" s="48"/>
      <c r="Q11" s="48"/>
    </row>
    <row r="12" ht="21" customHeight="true" spans="1:17">
      <c r="A12" s="97" t="str">
        <f>"      "&amp;"公车购置及运维费"</f>
        <v>      公车购置及运维费</v>
      </c>
      <c r="B12" s="98" t="s">
        <v>1504</v>
      </c>
      <c r="C12" s="98" t="str">
        <f>"C23120301"&amp;"  "&amp;"车辆维修和保养服务"</f>
        <v>C23120301  车辆维修和保养服务</v>
      </c>
      <c r="D12" s="125" t="s">
        <v>1505</v>
      </c>
      <c r="E12" s="130">
        <v>1</v>
      </c>
      <c r="F12" s="30">
        <v>4500</v>
      </c>
      <c r="G12" s="48">
        <v>4500</v>
      </c>
      <c r="H12" s="48">
        <v>4500</v>
      </c>
      <c r="I12" s="48"/>
      <c r="J12" s="48"/>
      <c r="K12" s="48"/>
      <c r="L12" s="48"/>
      <c r="M12" s="48"/>
      <c r="N12" s="48"/>
      <c r="O12" s="48"/>
      <c r="P12" s="48"/>
      <c r="Q12" s="48"/>
    </row>
    <row r="13" ht="21" customHeight="true" spans="1:17">
      <c r="A13" s="97" t="str">
        <f>"      "&amp;"物业管理费"</f>
        <v>      物业管理费</v>
      </c>
      <c r="B13" s="98" t="s">
        <v>330</v>
      </c>
      <c r="C13" s="98" t="str">
        <f>"C21040001"&amp;"  "&amp;"物业管理服务"</f>
        <v>C21040001  物业管理服务</v>
      </c>
      <c r="D13" s="125" t="s">
        <v>1505</v>
      </c>
      <c r="E13" s="130">
        <v>1</v>
      </c>
      <c r="F13" s="30">
        <v>198000</v>
      </c>
      <c r="G13" s="48">
        <v>198000</v>
      </c>
      <c r="H13" s="48">
        <v>198000</v>
      </c>
      <c r="I13" s="48"/>
      <c r="J13" s="48"/>
      <c r="K13" s="48"/>
      <c r="L13" s="48"/>
      <c r="M13" s="48"/>
      <c r="N13" s="48"/>
      <c r="O13" s="48"/>
      <c r="P13" s="48"/>
      <c r="Q13" s="48"/>
    </row>
    <row r="14" ht="21" customHeight="true" spans="1:17">
      <c r="A14" s="97" t="str">
        <f t="shared" ref="A14:A23" si="0">"      "&amp;"一般公用经费"</f>
        <v>      一般公用经费</v>
      </c>
      <c r="B14" s="98" t="s">
        <v>1507</v>
      </c>
      <c r="C14" s="98" t="str">
        <f>"A02020100"&amp;"  "&amp;"复印机"</f>
        <v>A02020100  复印机</v>
      </c>
      <c r="D14" s="125" t="s">
        <v>1508</v>
      </c>
      <c r="E14" s="130">
        <v>1</v>
      </c>
      <c r="F14" s="30">
        <v>20000</v>
      </c>
      <c r="G14" s="48">
        <v>20000</v>
      </c>
      <c r="H14" s="48">
        <v>20000</v>
      </c>
      <c r="I14" s="48"/>
      <c r="J14" s="48"/>
      <c r="K14" s="48"/>
      <c r="L14" s="48"/>
      <c r="M14" s="48"/>
      <c r="N14" s="48"/>
      <c r="O14" s="48"/>
      <c r="P14" s="48"/>
      <c r="Q14" s="48"/>
    </row>
    <row r="15" ht="21" customHeight="true" spans="1:17">
      <c r="A15" s="97" t="str">
        <f t="shared" si="0"/>
        <v>      一般公用经费</v>
      </c>
      <c r="B15" s="98" t="s">
        <v>1509</v>
      </c>
      <c r="C15" s="98" t="str">
        <f>"C17010200"&amp;"  "&amp;"网络接入服务"</f>
        <v>C17010200  网络接入服务</v>
      </c>
      <c r="D15" s="125" t="s">
        <v>1505</v>
      </c>
      <c r="E15" s="130">
        <v>1</v>
      </c>
      <c r="F15" s="30"/>
      <c r="G15" s="48">
        <v>59400</v>
      </c>
      <c r="H15" s="48">
        <v>59400</v>
      </c>
      <c r="I15" s="48"/>
      <c r="J15" s="48"/>
      <c r="K15" s="48"/>
      <c r="L15" s="48"/>
      <c r="M15" s="48"/>
      <c r="N15" s="48"/>
      <c r="O15" s="48"/>
      <c r="P15" s="48"/>
      <c r="Q15" s="48"/>
    </row>
    <row r="16" ht="21" customHeight="true" spans="1:17">
      <c r="A16" s="97" t="str">
        <f t="shared" si="0"/>
        <v>      一般公用经费</v>
      </c>
      <c r="B16" s="98" t="s">
        <v>1510</v>
      </c>
      <c r="C16" s="98" t="str">
        <f>"A05040101"&amp;"  "&amp;"复印纸"</f>
        <v>A05040101  复印纸</v>
      </c>
      <c r="D16" s="125" t="s">
        <v>1505</v>
      </c>
      <c r="E16" s="130">
        <v>1</v>
      </c>
      <c r="F16" s="30">
        <v>2493</v>
      </c>
      <c r="G16" s="48">
        <v>2493</v>
      </c>
      <c r="H16" s="48">
        <v>2493</v>
      </c>
      <c r="I16" s="48"/>
      <c r="J16" s="48"/>
      <c r="K16" s="48"/>
      <c r="L16" s="48"/>
      <c r="M16" s="48"/>
      <c r="N16" s="48"/>
      <c r="O16" s="48"/>
      <c r="P16" s="48"/>
      <c r="Q16" s="48"/>
    </row>
    <row r="17" ht="21" customHeight="true" spans="1:17">
      <c r="A17" s="97" t="str">
        <f t="shared" si="0"/>
        <v>      一般公用经费</v>
      </c>
      <c r="B17" s="98" t="s">
        <v>1511</v>
      </c>
      <c r="C17" s="98" t="str">
        <f>"C2309019999"&amp;"  "&amp;"其他印刷服务"</f>
        <v>C2309019999  其他印刷服务</v>
      </c>
      <c r="D17" s="125" t="s">
        <v>1505</v>
      </c>
      <c r="E17" s="130">
        <v>1</v>
      </c>
      <c r="F17" s="30">
        <v>14100</v>
      </c>
      <c r="G17" s="48">
        <v>14100</v>
      </c>
      <c r="H17" s="48">
        <v>14100</v>
      </c>
      <c r="I17" s="48"/>
      <c r="J17" s="48"/>
      <c r="K17" s="48"/>
      <c r="L17" s="48"/>
      <c r="M17" s="48"/>
      <c r="N17" s="48"/>
      <c r="O17" s="48"/>
      <c r="P17" s="48"/>
      <c r="Q17" s="48"/>
    </row>
    <row r="18" ht="21" customHeight="true" spans="1:17">
      <c r="A18" s="97" t="str">
        <f t="shared" si="0"/>
        <v>      一般公用经费</v>
      </c>
      <c r="B18" s="98" t="s">
        <v>1512</v>
      </c>
      <c r="C18" s="98" t="str">
        <f>"A02010109"&amp;"  "&amp;"平板式计算机"</f>
        <v>A02010109  平板式计算机</v>
      </c>
      <c r="D18" s="125" t="s">
        <v>1508</v>
      </c>
      <c r="E18" s="130">
        <v>5</v>
      </c>
      <c r="F18" s="30">
        <v>25000</v>
      </c>
      <c r="G18" s="48">
        <v>25000</v>
      </c>
      <c r="H18" s="48">
        <v>25000</v>
      </c>
      <c r="I18" s="48"/>
      <c r="J18" s="48"/>
      <c r="K18" s="48"/>
      <c r="L18" s="48"/>
      <c r="M18" s="48"/>
      <c r="N18" s="48"/>
      <c r="O18" s="48"/>
      <c r="P18" s="48"/>
      <c r="Q18" s="48"/>
    </row>
    <row r="19" ht="21" customHeight="true" spans="1:17">
      <c r="A19" s="97" t="str">
        <f t="shared" si="0"/>
        <v>      一般公用经费</v>
      </c>
      <c r="B19" s="98" t="s">
        <v>1513</v>
      </c>
      <c r="C19" s="98" t="str">
        <f>"A02010105"&amp;"  "&amp;"台式计算机"</f>
        <v>A02010105  台式计算机</v>
      </c>
      <c r="D19" s="125" t="s">
        <v>1508</v>
      </c>
      <c r="E19" s="130">
        <v>1</v>
      </c>
      <c r="F19" s="30">
        <v>6000</v>
      </c>
      <c r="G19" s="48">
        <v>6000</v>
      </c>
      <c r="H19" s="48">
        <v>6000</v>
      </c>
      <c r="I19" s="48"/>
      <c r="J19" s="48"/>
      <c r="K19" s="48"/>
      <c r="L19" s="48"/>
      <c r="M19" s="48"/>
      <c r="N19" s="48"/>
      <c r="O19" s="48"/>
      <c r="P19" s="48"/>
      <c r="Q19" s="48"/>
    </row>
    <row r="20" ht="21" customHeight="true" spans="1:17">
      <c r="A20" s="97" t="str">
        <f t="shared" si="0"/>
        <v>      一般公用经费</v>
      </c>
      <c r="B20" s="98" t="s">
        <v>1514</v>
      </c>
      <c r="C20" s="98" t="str">
        <f>"A05010501"&amp;"  "&amp;"书柜"</f>
        <v>A05010501  书柜</v>
      </c>
      <c r="D20" s="125" t="s">
        <v>998</v>
      </c>
      <c r="E20" s="130">
        <v>4</v>
      </c>
      <c r="F20" s="30">
        <v>4800</v>
      </c>
      <c r="G20" s="48">
        <v>4800</v>
      </c>
      <c r="H20" s="48">
        <v>4800</v>
      </c>
      <c r="I20" s="48"/>
      <c r="J20" s="48"/>
      <c r="K20" s="48"/>
      <c r="L20" s="48"/>
      <c r="M20" s="48"/>
      <c r="N20" s="48"/>
      <c r="O20" s="48"/>
      <c r="P20" s="48"/>
      <c r="Q20" s="48"/>
    </row>
    <row r="21" ht="21" customHeight="true" spans="1:17">
      <c r="A21" s="97" t="str">
        <f t="shared" si="0"/>
        <v>      一般公用经费</v>
      </c>
      <c r="B21" s="98" t="s">
        <v>1515</v>
      </c>
      <c r="C21" s="98" t="str">
        <f>"A02021001"&amp;"  "&amp;"A3黑白打印机"</f>
        <v>A02021001  A3黑白打印机</v>
      </c>
      <c r="D21" s="125" t="s">
        <v>1508</v>
      </c>
      <c r="E21" s="130">
        <v>1</v>
      </c>
      <c r="F21" s="30">
        <v>7600</v>
      </c>
      <c r="G21" s="48">
        <v>7600</v>
      </c>
      <c r="H21" s="48">
        <v>7600</v>
      </c>
      <c r="I21" s="48"/>
      <c r="J21" s="48"/>
      <c r="K21" s="48"/>
      <c r="L21" s="48"/>
      <c r="M21" s="48"/>
      <c r="N21" s="48"/>
      <c r="O21" s="48"/>
      <c r="P21" s="48"/>
      <c r="Q21" s="48"/>
    </row>
    <row r="22" ht="21" customHeight="true" spans="1:17">
      <c r="A22" s="97" t="str">
        <f t="shared" si="0"/>
        <v>      一般公用经费</v>
      </c>
      <c r="B22" s="98" t="s">
        <v>1516</v>
      </c>
      <c r="C22" s="98" t="str">
        <f>"A02021003"&amp;"  "&amp;"A4黑白打印机"</f>
        <v>A02021003  A4黑白打印机</v>
      </c>
      <c r="D22" s="125" t="s">
        <v>1508</v>
      </c>
      <c r="E22" s="130">
        <v>4</v>
      </c>
      <c r="F22" s="30">
        <v>6000</v>
      </c>
      <c r="G22" s="48">
        <v>6000</v>
      </c>
      <c r="H22" s="48">
        <v>6000</v>
      </c>
      <c r="I22" s="48"/>
      <c r="J22" s="48"/>
      <c r="K22" s="48"/>
      <c r="L22" s="48"/>
      <c r="M22" s="48"/>
      <c r="N22" s="48"/>
      <c r="O22" s="48"/>
      <c r="P22" s="48"/>
      <c r="Q22" s="48"/>
    </row>
    <row r="23" ht="21" customHeight="true" spans="1:17">
      <c r="A23" s="97" t="str">
        <f t="shared" si="0"/>
        <v>      一般公用经费</v>
      </c>
      <c r="B23" s="98" t="s">
        <v>1511</v>
      </c>
      <c r="C23" s="98" t="str">
        <f>"C2309019999"&amp;"  "&amp;"其他印刷服务"</f>
        <v>C2309019999  其他印刷服务</v>
      </c>
      <c r="D23" s="125" t="s">
        <v>1505</v>
      </c>
      <c r="E23" s="130">
        <v>1</v>
      </c>
      <c r="F23" s="30">
        <v>45900</v>
      </c>
      <c r="G23" s="48">
        <v>45900</v>
      </c>
      <c r="H23" s="48">
        <v>45900</v>
      </c>
      <c r="I23" s="48"/>
      <c r="J23" s="48"/>
      <c r="K23" s="48"/>
      <c r="L23" s="48"/>
      <c r="M23" s="48"/>
      <c r="N23" s="48"/>
      <c r="O23" s="48"/>
      <c r="P23" s="48"/>
      <c r="Q23" s="48"/>
    </row>
    <row r="24" ht="21" customHeight="true" spans="1:17">
      <c r="A24" s="97" t="str">
        <f>"      "&amp;"工作业务（公务用车运维费）经费"</f>
        <v>      工作业务（公务用车运维费）经费</v>
      </c>
      <c r="B24" s="98" t="s">
        <v>1504</v>
      </c>
      <c r="C24" s="98" t="str">
        <f>"C23120301"&amp;"  "&amp;"车辆维修和保养服务"</f>
        <v>C23120301  车辆维修和保养服务</v>
      </c>
      <c r="D24" s="125" t="s">
        <v>1505</v>
      </c>
      <c r="E24" s="130">
        <v>1</v>
      </c>
      <c r="F24" s="30">
        <v>6000</v>
      </c>
      <c r="G24" s="48">
        <v>6000</v>
      </c>
      <c r="H24" s="48">
        <v>6000</v>
      </c>
      <c r="I24" s="48"/>
      <c r="J24" s="48"/>
      <c r="K24" s="48"/>
      <c r="L24" s="48"/>
      <c r="M24" s="48"/>
      <c r="N24" s="48"/>
      <c r="O24" s="48"/>
      <c r="P24" s="48"/>
      <c r="Q24" s="48"/>
    </row>
    <row r="25" ht="21" customHeight="true" spans="1:17">
      <c r="A25" s="97" t="str">
        <f>"      "&amp;"工作业务（公务用车运维费）经费"</f>
        <v>      工作业务（公务用车运维费）经费</v>
      </c>
      <c r="B25" s="98" t="s">
        <v>1517</v>
      </c>
      <c r="C25" s="98" t="str">
        <f>"A07070101"&amp;"  "&amp;"汽油"</f>
        <v>A07070101  汽油</v>
      </c>
      <c r="D25" s="125" t="s">
        <v>1505</v>
      </c>
      <c r="E25" s="130">
        <v>1</v>
      </c>
      <c r="F25" s="30"/>
      <c r="G25" s="48">
        <v>30000</v>
      </c>
      <c r="H25" s="48">
        <v>30000</v>
      </c>
      <c r="I25" s="48"/>
      <c r="J25" s="48"/>
      <c r="K25" s="48"/>
      <c r="L25" s="48"/>
      <c r="M25" s="48"/>
      <c r="N25" s="48"/>
      <c r="O25" s="48"/>
      <c r="P25" s="48"/>
      <c r="Q25" s="48"/>
    </row>
    <row r="26" ht="21" customHeight="true" spans="1:17">
      <c r="A26" s="97" t="str">
        <f>"      "&amp;"工作业务经费"</f>
        <v>      工作业务经费</v>
      </c>
      <c r="B26" s="98" t="s">
        <v>1510</v>
      </c>
      <c r="C26" s="98" t="str">
        <f>"A05040101"&amp;"  "&amp;"复印纸"</f>
        <v>A05040101  复印纸</v>
      </c>
      <c r="D26" s="125" t="s">
        <v>1505</v>
      </c>
      <c r="E26" s="130">
        <v>1</v>
      </c>
      <c r="F26" s="30">
        <v>47507</v>
      </c>
      <c r="G26" s="48">
        <v>47507</v>
      </c>
      <c r="H26" s="48">
        <v>47507</v>
      </c>
      <c r="I26" s="48"/>
      <c r="J26" s="48"/>
      <c r="K26" s="48"/>
      <c r="L26" s="48"/>
      <c r="M26" s="48"/>
      <c r="N26" s="48"/>
      <c r="O26" s="48"/>
      <c r="P26" s="48"/>
      <c r="Q26" s="48"/>
    </row>
    <row r="27" ht="21" customHeight="true" spans="1:17">
      <c r="A27" s="124" t="s">
        <v>67</v>
      </c>
      <c r="B27" s="18"/>
      <c r="C27" s="18"/>
      <c r="D27" s="18"/>
      <c r="E27" s="18"/>
      <c r="F27" s="129">
        <v>11500</v>
      </c>
      <c r="G27" s="48">
        <v>11500</v>
      </c>
      <c r="H27" s="48">
        <v>11500</v>
      </c>
      <c r="I27" s="48"/>
      <c r="J27" s="48"/>
      <c r="K27" s="48"/>
      <c r="L27" s="48"/>
      <c r="M27" s="48"/>
      <c r="N27" s="48"/>
      <c r="O27" s="48"/>
      <c r="P27" s="48"/>
      <c r="Q27" s="48"/>
    </row>
    <row r="28" ht="21" customHeight="true" spans="1:17">
      <c r="A28" s="97" t="str">
        <f>"      "&amp;"一般公用经费"</f>
        <v>      一般公用经费</v>
      </c>
      <c r="B28" s="98" t="s">
        <v>1518</v>
      </c>
      <c r="C28" s="98" t="str">
        <f>"A02020400"&amp;"  "&amp;"多功能一体机"</f>
        <v>A02020400  多功能一体机</v>
      </c>
      <c r="D28" s="125" t="s">
        <v>1508</v>
      </c>
      <c r="E28" s="130">
        <v>1</v>
      </c>
      <c r="F28" s="30">
        <v>3000</v>
      </c>
      <c r="G28" s="48">
        <v>3000</v>
      </c>
      <c r="H28" s="48">
        <v>3000</v>
      </c>
      <c r="I28" s="48"/>
      <c r="J28" s="48"/>
      <c r="K28" s="48"/>
      <c r="L28" s="48"/>
      <c r="M28" s="48"/>
      <c r="N28" s="48"/>
      <c r="O28" s="48"/>
      <c r="P28" s="48"/>
      <c r="Q28" s="48"/>
    </row>
    <row r="29" ht="21" customHeight="true" spans="1:17">
      <c r="A29" s="97" t="str">
        <f>"      "&amp;"一般公用经费"</f>
        <v>      一般公用经费</v>
      </c>
      <c r="B29" s="98" t="s">
        <v>1519</v>
      </c>
      <c r="C29" s="98" t="str">
        <f>"A02021007"&amp;"  "&amp;"条码打印机"</f>
        <v>A02021007  条码打印机</v>
      </c>
      <c r="D29" s="125" t="s">
        <v>1508</v>
      </c>
      <c r="E29" s="130">
        <v>1</v>
      </c>
      <c r="F29" s="30">
        <v>2500</v>
      </c>
      <c r="G29" s="48">
        <v>2500</v>
      </c>
      <c r="H29" s="48">
        <v>2500</v>
      </c>
      <c r="I29" s="48"/>
      <c r="J29" s="48"/>
      <c r="K29" s="48"/>
      <c r="L29" s="48"/>
      <c r="M29" s="48"/>
      <c r="N29" s="48"/>
      <c r="O29" s="48"/>
      <c r="P29" s="48"/>
      <c r="Q29" s="48"/>
    </row>
    <row r="30" ht="21" customHeight="true" spans="1:17">
      <c r="A30" s="97" t="str">
        <f>"      "&amp;"一般公用经费"</f>
        <v>      一般公用经费</v>
      </c>
      <c r="B30" s="98" t="s">
        <v>1520</v>
      </c>
      <c r="C30" s="98" t="str">
        <f>"A05010504"&amp;"  "&amp;"保密柜"</f>
        <v>A05010504  保密柜</v>
      </c>
      <c r="D30" s="125" t="s">
        <v>998</v>
      </c>
      <c r="E30" s="130">
        <v>1</v>
      </c>
      <c r="F30" s="30">
        <v>3500</v>
      </c>
      <c r="G30" s="48">
        <v>3500</v>
      </c>
      <c r="H30" s="48">
        <v>3500</v>
      </c>
      <c r="I30" s="48"/>
      <c r="J30" s="48"/>
      <c r="K30" s="48"/>
      <c r="L30" s="48"/>
      <c r="M30" s="48"/>
      <c r="N30" s="48"/>
      <c r="O30" s="48"/>
      <c r="P30" s="48"/>
      <c r="Q30" s="48"/>
    </row>
    <row r="31" ht="21" customHeight="true" spans="1:17">
      <c r="A31" s="97" t="str">
        <f>"      "&amp;"一般公用经费"</f>
        <v>      一般公用经费</v>
      </c>
      <c r="B31" s="98" t="s">
        <v>1521</v>
      </c>
      <c r="C31" s="98" t="str">
        <f>"A05010602"&amp;"  "&amp;"金属质架类"</f>
        <v>A05010602  金属质架类</v>
      </c>
      <c r="D31" s="125" t="s">
        <v>1522</v>
      </c>
      <c r="E31" s="130">
        <v>1</v>
      </c>
      <c r="F31" s="30">
        <v>2500</v>
      </c>
      <c r="G31" s="48">
        <v>2500</v>
      </c>
      <c r="H31" s="48">
        <v>2500</v>
      </c>
      <c r="I31" s="48"/>
      <c r="J31" s="48"/>
      <c r="K31" s="48"/>
      <c r="L31" s="48"/>
      <c r="M31" s="48"/>
      <c r="N31" s="48"/>
      <c r="O31" s="48"/>
      <c r="P31" s="48"/>
      <c r="Q31" s="48"/>
    </row>
    <row r="32" ht="21" customHeight="true" spans="1:17">
      <c r="A32" s="124" t="s">
        <v>69</v>
      </c>
      <c r="B32" s="18"/>
      <c r="C32" s="18"/>
      <c r="D32" s="18"/>
      <c r="E32" s="18"/>
      <c r="F32" s="129">
        <v>1000000</v>
      </c>
      <c r="G32" s="48">
        <v>6922720</v>
      </c>
      <c r="H32" s="48">
        <v>65500</v>
      </c>
      <c r="I32" s="48"/>
      <c r="J32" s="48"/>
      <c r="K32" s="48"/>
      <c r="L32" s="48">
        <v>6857220</v>
      </c>
      <c r="M32" s="48">
        <v>6857220</v>
      </c>
      <c r="N32" s="48"/>
      <c r="O32" s="48"/>
      <c r="P32" s="48"/>
      <c r="Q32" s="48"/>
    </row>
    <row r="33" ht="21" customHeight="true" spans="1:17">
      <c r="A33" s="97" t="str">
        <f t="shared" ref="A33:A96" si="1">"      "&amp;"玉溪市妇幼保健院事业收入专项资金"</f>
        <v>      玉溪市妇幼保健院事业收入专项资金</v>
      </c>
      <c r="B33" s="98" t="s">
        <v>1523</v>
      </c>
      <c r="C33" s="98" t="str">
        <f>"A02061504"&amp;"  "&amp;"不间断电源"</f>
        <v>A02061504  不间断电源</v>
      </c>
      <c r="D33" s="125" t="s">
        <v>1508</v>
      </c>
      <c r="E33" s="130">
        <v>1</v>
      </c>
      <c r="F33" s="30"/>
      <c r="G33" s="48">
        <v>3000</v>
      </c>
      <c r="H33" s="48"/>
      <c r="I33" s="48"/>
      <c r="J33" s="48"/>
      <c r="K33" s="48"/>
      <c r="L33" s="48">
        <v>3000</v>
      </c>
      <c r="M33" s="48">
        <v>3000</v>
      </c>
      <c r="N33" s="48"/>
      <c r="O33" s="48"/>
      <c r="P33" s="48"/>
      <c r="Q33" s="48"/>
    </row>
    <row r="34" ht="21" customHeight="true" spans="1:17">
      <c r="A34" s="97" t="str">
        <f t="shared" si="1"/>
        <v>      玉溪市妇幼保健院事业收入专项资金</v>
      </c>
      <c r="B34" s="98" t="s">
        <v>1524</v>
      </c>
      <c r="C34" s="98" t="str">
        <f>"A02322900"&amp;"  "&amp;"医用低温、冷疗设备"</f>
        <v>A02322900  医用低温、冷疗设备</v>
      </c>
      <c r="D34" s="125" t="s">
        <v>1508</v>
      </c>
      <c r="E34" s="130">
        <v>1</v>
      </c>
      <c r="F34" s="30"/>
      <c r="G34" s="48">
        <v>100000</v>
      </c>
      <c r="H34" s="48"/>
      <c r="I34" s="48"/>
      <c r="J34" s="48"/>
      <c r="K34" s="48"/>
      <c r="L34" s="48">
        <v>100000</v>
      </c>
      <c r="M34" s="48">
        <v>100000</v>
      </c>
      <c r="N34" s="48"/>
      <c r="O34" s="48"/>
      <c r="P34" s="48"/>
      <c r="Q34" s="48"/>
    </row>
    <row r="35" ht="21" customHeight="true" spans="1:17">
      <c r="A35" s="97" t="str">
        <f t="shared" si="1"/>
        <v>      玉溪市妇幼保健院事业收入专项资金</v>
      </c>
      <c r="B35" s="98" t="s">
        <v>1525</v>
      </c>
      <c r="C35" s="98" t="str">
        <f>"A02321900"&amp;"  "&amp;"临床检验设备"</f>
        <v>A02321900  临床检验设备</v>
      </c>
      <c r="D35" s="125" t="s">
        <v>1508</v>
      </c>
      <c r="E35" s="130">
        <v>1</v>
      </c>
      <c r="F35" s="30"/>
      <c r="G35" s="48">
        <v>6000</v>
      </c>
      <c r="H35" s="48"/>
      <c r="I35" s="48"/>
      <c r="J35" s="48"/>
      <c r="K35" s="48"/>
      <c r="L35" s="48">
        <v>6000</v>
      </c>
      <c r="M35" s="48">
        <v>6000</v>
      </c>
      <c r="N35" s="48"/>
      <c r="O35" s="48"/>
      <c r="P35" s="48"/>
      <c r="Q35" s="48"/>
    </row>
    <row r="36" ht="21" customHeight="true" spans="1:17">
      <c r="A36" s="97" t="str">
        <f t="shared" si="1"/>
        <v>      玉溪市妇幼保健院事业收入专项资金</v>
      </c>
      <c r="B36" s="98" t="s">
        <v>1526</v>
      </c>
      <c r="C36" s="98" t="str">
        <f>"C21040001"&amp;"  "&amp;"物业管理服务"</f>
        <v>C21040001  物业管理服务</v>
      </c>
      <c r="D36" s="125" t="s">
        <v>1036</v>
      </c>
      <c r="E36" s="130">
        <v>1</v>
      </c>
      <c r="F36" s="30"/>
      <c r="G36" s="48">
        <v>588540</v>
      </c>
      <c r="H36" s="48"/>
      <c r="I36" s="48"/>
      <c r="J36" s="48"/>
      <c r="K36" s="48"/>
      <c r="L36" s="48">
        <v>588540</v>
      </c>
      <c r="M36" s="48">
        <v>588540</v>
      </c>
      <c r="N36" s="48"/>
      <c r="O36" s="48"/>
      <c r="P36" s="48"/>
      <c r="Q36" s="48"/>
    </row>
    <row r="37" ht="21" customHeight="true" spans="1:17">
      <c r="A37" s="97" t="str">
        <f t="shared" si="1"/>
        <v>      玉溪市妇幼保健院事业收入专项资金</v>
      </c>
      <c r="B37" s="98" t="s">
        <v>1523</v>
      </c>
      <c r="C37" s="98" t="str">
        <f>"A02061504"&amp;"  "&amp;"不间断电源"</f>
        <v>A02061504  不间断电源</v>
      </c>
      <c r="D37" s="125" t="s">
        <v>1508</v>
      </c>
      <c r="E37" s="130">
        <v>1</v>
      </c>
      <c r="F37" s="30"/>
      <c r="G37" s="48">
        <v>250000</v>
      </c>
      <c r="H37" s="48"/>
      <c r="I37" s="48"/>
      <c r="J37" s="48"/>
      <c r="K37" s="48"/>
      <c r="L37" s="48">
        <v>250000</v>
      </c>
      <c r="M37" s="48">
        <v>250000</v>
      </c>
      <c r="N37" s="48"/>
      <c r="O37" s="48"/>
      <c r="P37" s="48"/>
      <c r="Q37" s="48"/>
    </row>
    <row r="38" ht="21" customHeight="true" spans="1:17">
      <c r="A38" s="97" t="str">
        <f t="shared" si="1"/>
        <v>      玉溪市妇幼保健院事业收入专项资金</v>
      </c>
      <c r="B38" s="98" t="s">
        <v>1527</v>
      </c>
      <c r="C38" s="98" t="str">
        <f>"A02010202"&amp;"  "&amp;"交换设备"</f>
        <v>A02010202  交换设备</v>
      </c>
      <c r="D38" s="125" t="s">
        <v>1508</v>
      </c>
      <c r="E38" s="130">
        <v>1</v>
      </c>
      <c r="F38" s="30"/>
      <c r="G38" s="48">
        <v>650</v>
      </c>
      <c r="H38" s="48"/>
      <c r="I38" s="48"/>
      <c r="J38" s="48"/>
      <c r="K38" s="48"/>
      <c r="L38" s="48">
        <v>650</v>
      </c>
      <c r="M38" s="48">
        <v>650</v>
      </c>
      <c r="N38" s="48"/>
      <c r="O38" s="48"/>
      <c r="P38" s="48"/>
      <c r="Q38" s="48"/>
    </row>
    <row r="39" ht="21" customHeight="true" spans="1:17">
      <c r="A39" s="97" t="str">
        <f t="shared" si="1"/>
        <v>      玉溪市妇幼保健院事业收入专项资金</v>
      </c>
      <c r="B39" s="98" t="s">
        <v>1528</v>
      </c>
      <c r="C39" s="98" t="str">
        <f>"A02021118"&amp;"  "&amp;"扫描仪"</f>
        <v>A02021118  扫描仪</v>
      </c>
      <c r="D39" s="125" t="s">
        <v>1508</v>
      </c>
      <c r="E39" s="130">
        <v>1</v>
      </c>
      <c r="F39" s="30"/>
      <c r="G39" s="48">
        <v>4000</v>
      </c>
      <c r="H39" s="48"/>
      <c r="I39" s="48"/>
      <c r="J39" s="48"/>
      <c r="K39" s="48"/>
      <c r="L39" s="48">
        <v>4000</v>
      </c>
      <c r="M39" s="48">
        <v>4000</v>
      </c>
      <c r="N39" s="48"/>
      <c r="O39" s="48"/>
      <c r="P39" s="48"/>
      <c r="Q39" s="48"/>
    </row>
    <row r="40" ht="21" customHeight="true" spans="1:17">
      <c r="A40" s="97" t="str">
        <f t="shared" si="1"/>
        <v>      玉溪市妇幼保健院事业收入专项资金</v>
      </c>
      <c r="B40" s="98" t="s">
        <v>1529</v>
      </c>
      <c r="C40" s="98" t="str">
        <f>"A05010302"&amp;"  "&amp;"桌前椅"</f>
        <v>A05010302  桌前椅</v>
      </c>
      <c r="D40" s="125" t="s">
        <v>1530</v>
      </c>
      <c r="E40" s="130">
        <v>3</v>
      </c>
      <c r="F40" s="30"/>
      <c r="G40" s="48">
        <v>2400</v>
      </c>
      <c r="H40" s="48"/>
      <c r="I40" s="48"/>
      <c r="J40" s="48"/>
      <c r="K40" s="48"/>
      <c r="L40" s="48">
        <v>2400</v>
      </c>
      <c r="M40" s="48">
        <v>2400</v>
      </c>
      <c r="N40" s="48"/>
      <c r="O40" s="48"/>
      <c r="P40" s="48"/>
      <c r="Q40" s="48"/>
    </row>
    <row r="41" ht="21" customHeight="true" spans="1:17">
      <c r="A41" s="97" t="str">
        <f t="shared" si="1"/>
        <v>      玉溪市妇幼保健院事业收入专项资金</v>
      </c>
      <c r="B41" s="98" t="s">
        <v>1531</v>
      </c>
      <c r="C41" s="98" t="str">
        <f>"A02322700"&amp;"  "&amp;"病房护理及医院设备"</f>
        <v>A02322700  病房护理及医院设备</v>
      </c>
      <c r="D41" s="125" t="s">
        <v>1508</v>
      </c>
      <c r="E41" s="130">
        <v>3</v>
      </c>
      <c r="F41" s="30"/>
      <c r="G41" s="48">
        <v>5400</v>
      </c>
      <c r="H41" s="48"/>
      <c r="I41" s="48"/>
      <c r="J41" s="48"/>
      <c r="K41" s="48"/>
      <c r="L41" s="48">
        <v>5400</v>
      </c>
      <c r="M41" s="48">
        <v>5400</v>
      </c>
      <c r="N41" s="48"/>
      <c r="O41" s="48"/>
      <c r="P41" s="48"/>
      <c r="Q41" s="48"/>
    </row>
    <row r="42" ht="21" customHeight="true" spans="1:17">
      <c r="A42" s="97" t="str">
        <f t="shared" si="1"/>
        <v>      玉溪市妇幼保健院事业收入专项资金</v>
      </c>
      <c r="B42" s="98" t="s">
        <v>1532</v>
      </c>
      <c r="C42" s="98" t="str">
        <f>"A02321900"&amp;"  "&amp;"临床检验设备"</f>
        <v>A02321900  临床检验设备</v>
      </c>
      <c r="D42" s="125" t="s">
        <v>1185</v>
      </c>
      <c r="E42" s="130">
        <v>1</v>
      </c>
      <c r="F42" s="30"/>
      <c r="G42" s="48">
        <v>2400000</v>
      </c>
      <c r="H42" s="48"/>
      <c r="I42" s="48"/>
      <c r="J42" s="48"/>
      <c r="K42" s="48"/>
      <c r="L42" s="48">
        <v>2400000</v>
      </c>
      <c r="M42" s="48">
        <v>2400000</v>
      </c>
      <c r="N42" s="48"/>
      <c r="O42" s="48"/>
      <c r="P42" s="48"/>
      <c r="Q42" s="48"/>
    </row>
    <row r="43" ht="21" customHeight="true" spans="1:17">
      <c r="A43" s="97" t="str">
        <f t="shared" si="1"/>
        <v>      玉溪市妇幼保健院事业收入专项资金</v>
      </c>
      <c r="B43" s="98" t="s">
        <v>1533</v>
      </c>
      <c r="C43" s="98" t="str">
        <f>"A05010602"&amp;"  "&amp;"金属质架类"</f>
        <v>A05010602  金属质架类</v>
      </c>
      <c r="D43" s="125" t="s">
        <v>1522</v>
      </c>
      <c r="E43" s="130">
        <v>2</v>
      </c>
      <c r="F43" s="30"/>
      <c r="G43" s="48">
        <v>380</v>
      </c>
      <c r="H43" s="48"/>
      <c r="I43" s="48"/>
      <c r="J43" s="48"/>
      <c r="K43" s="48"/>
      <c r="L43" s="48">
        <v>380</v>
      </c>
      <c r="M43" s="48">
        <v>380</v>
      </c>
      <c r="N43" s="48"/>
      <c r="O43" s="48"/>
      <c r="P43" s="48"/>
      <c r="Q43" s="48"/>
    </row>
    <row r="44" ht="21" customHeight="true" spans="1:17">
      <c r="A44" s="97" t="str">
        <f t="shared" si="1"/>
        <v>      玉溪市妇幼保健院事业收入专项资金</v>
      </c>
      <c r="B44" s="98" t="s">
        <v>1534</v>
      </c>
      <c r="C44" s="98" t="str">
        <f>"A05010602"&amp;"  "&amp;"金属质架类"</f>
        <v>A05010602  金属质架类</v>
      </c>
      <c r="D44" s="125" t="s">
        <v>1522</v>
      </c>
      <c r="E44" s="130">
        <v>3</v>
      </c>
      <c r="F44" s="30"/>
      <c r="G44" s="48">
        <v>4500</v>
      </c>
      <c r="H44" s="48"/>
      <c r="I44" s="48"/>
      <c r="J44" s="48"/>
      <c r="K44" s="48"/>
      <c r="L44" s="48">
        <v>4500</v>
      </c>
      <c r="M44" s="48">
        <v>4500</v>
      </c>
      <c r="N44" s="48"/>
      <c r="O44" s="48"/>
      <c r="P44" s="48"/>
      <c r="Q44" s="48"/>
    </row>
    <row r="45" ht="21" customHeight="true" spans="1:17">
      <c r="A45" s="97" t="str">
        <f t="shared" si="1"/>
        <v>      玉溪市妇幼保健院事业收入专项资金</v>
      </c>
      <c r="B45" s="98" t="s">
        <v>1535</v>
      </c>
      <c r="C45" s="98" t="str">
        <f>"A02322800"&amp;"  "&amp;"消毒灭菌设备及器具"</f>
        <v>A02322800  消毒灭菌设备及器具</v>
      </c>
      <c r="D45" s="125" t="s">
        <v>1508</v>
      </c>
      <c r="E45" s="130">
        <v>1</v>
      </c>
      <c r="F45" s="30"/>
      <c r="G45" s="48">
        <v>15000</v>
      </c>
      <c r="H45" s="48"/>
      <c r="I45" s="48"/>
      <c r="J45" s="48"/>
      <c r="K45" s="48"/>
      <c r="L45" s="48">
        <v>15000</v>
      </c>
      <c r="M45" s="48">
        <v>15000</v>
      </c>
      <c r="N45" s="48"/>
      <c r="O45" s="48"/>
      <c r="P45" s="48"/>
      <c r="Q45" s="48"/>
    </row>
    <row r="46" ht="21" customHeight="true" spans="1:17">
      <c r="A46" s="97" t="str">
        <f t="shared" si="1"/>
        <v>      玉溪市妇幼保健院事业收入专项资金</v>
      </c>
      <c r="B46" s="98" t="s">
        <v>1536</v>
      </c>
      <c r="C46" s="98" t="str">
        <f>"A02320200"&amp;"  "&amp;"普通诊察器械"</f>
        <v>A02320200  普通诊察器械</v>
      </c>
      <c r="D46" s="125" t="s">
        <v>1508</v>
      </c>
      <c r="E46" s="130">
        <v>1</v>
      </c>
      <c r="F46" s="30"/>
      <c r="G46" s="48">
        <v>2000</v>
      </c>
      <c r="H46" s="48"/>
      <c r="I46" s="48"/>
      <c r="J46" s="48"/>
      <c r="K46" s="48"/>
      <c r="L46" s="48">
        <v>2000</v>
      </c>
      <c r="M46" s="48">
        <v>2000</v>
      </c>
      <c r="N46" s="48"/>
      <c r="O46" s="48"/>
      <c r="P46" s="48"/>
      <c r="Q46" s="48"/>
    </row>
    <row r="47" ht="21" customHeight="true" spans="1:17">
      <c r="A47" s="97" t="str">
        <f t="shared" si="1"/>
        <v>      玉溪市妇幼保健院事业收入专项资金</v>
      </c>
      <c r="B47" s="98" t="s">
        <v>1511</v>
      </c>
      <c r="C47" s="98" t="str">
        <f>"C2309019999"&amp;"  "&amp;"其他印刷服务"</f>
        <v>C2309019999  其他印刷服务</v>
      </c>
      <c r="D47" s="125" t="s">
        <v>1537</v>
      </c>
      <c r="E47" s="130">
        <v>1</v>
      </c>
      <c r="F47" s="30"/>
      <c r="G47" s="48">
        <v>200000</v>
      </c>
      <c r="H47" s="48"/>
      <c r="I47" s="48"/>
      <c r="J47" s="48"/>
      <c r="K47" s="48"/>
      <c r="L47" s="48">
        <v>200000</v>
      </c>
      <c r="M47" s="48">
        <v>200000</v>
      </c>
      <c r="N47" s="48"/>
      <c r="O47" s="48"/>
      <c r="P47" s="48"/>
      <c r="Q47" s="48"/>
    </row>
    <row r="48" ht="21" customHeight="true" spans="1:17">
      <c r="A48" s="97" t="str">
        <f t="shared" si="1"/>
        <v>      玉溪市妇幼保健院事业收入专项资金</v>
      </c>
      <c r="B48" s="98" t="s">
        <v>1538</v>
      </c>
      <c r="C48" s="98" t="str">
        <f>"A02320200"&amp;"  "&amp;"普通诊察器械"</f>
        <v>A02320200  普通诊察器械</v>
      </c>
      <c r="D48" s="125" t="s">
        <v>998</v>
      </c>
      <c r="E48" s="130">
        <v>1</v>
      </c>
      <c r="F48" s="30"/>
      <c r="G48" s="48">
        <v>550</v>
      </c>
      <c r="H48" s="48"/>
      <c r="I48" s="48"/>
      <c r="J48" s="48"/>
      <c r="K48" s="48"/>
      <c r="L48" s="48">
        <v>550</v>
      </c>
      <c r="M48" s="48">
        <v>550</v>
      </c>
      <c r="N48" s="48"/>
      <c r="O48" s="48"/>
      <c r="P48" s="48"/>
      <c r="Q48" s="48"/>
    </row>
    <row r="49" ht="21" customHeight="true" spans="1:17">
      <c r="A49" s="97" t="str">
        <f t="shared" si="1"/>
        <v>      玉溪市妇幼保健院事业收入专项资金</v>
      </c>
      <c r="B49" s="98" t="s">
        <v>1533</v>
      </c>
      <c r="C49" s="98" t="str">
        <f>"A05010602"&amp;"  "&amp;"金属质架类"</f>
        <v>A05010602  金属质架类</v>
      </c>
      <c r="D49" s="125" t="s">
        <v>1522</v>
      </c>
      <c r="E49" s="130">
        <v>2</v>
      </c>
      <c r="F49" s="30"/>
      <c r="G49" s="48">
        <v>480</v>
      </c>
      <c r="H49" s="48"/>
      <c r="I49" s="48"/>
      <c r="J49" s="48"/>
      <c r="K49" s="48"/>
      <c r="L49" s="48">
        <v>480</v>
      </c>
      <c r="M49" s="48">
        <v>480</v>
      </c>
      <c r="N49" s="48"/>
      <c r="O49" s="48"/>
      <c r="P49" s="48"/>
      <c r="Q49" s="48"/>
    </row>
    <row r="50" ht="21" customHeight="true" spans="1:17">
      <c r="A50" s="97" t="str">
        <f t="shared" si="1"/>
        <v>      玉溪市妇幼保健院事业收入专项资金</v>
      </c>
      <c r="B50" s="98" t="s">
        <v>1539</v>
      </c>
      <c r="C50" s="98" t="str">
        <f>"A02320400"&amp;"  "&amp;"医用光学仪器"</f>
        <v>A02320400  医用光学仪器</v>
      </c>
      <c r="D50" s="125" t="s">
        <v>1508</v>
      </c>
      <c r="E50" s="130">
        <v>1</v>
      </c>
      <c r="F50" s="30"/>
      <c r="G50" s="48">
        <v>1000</v>
      </c>
      <c r="H50" s="48"/>
      <c r="I50" s="48"/>
      <c r="J50" s="48"/>
      <c r="K50" s="48"/>
      <c r="L50" s="48">
        <v>1000</v>
      </c>
      <c r="M50" s="48">
        <v>1000</v>
      </c>
      <c r="N50" s="48"/>
      <c r="O50" s="48"/>
      <c r="P50" s="48"/>
      <c r="Q50" s="48"/>
    </row>
    <row r="51" ht="21" customHeight="true" spans="1:17">
      <c r="A51" s="97" t="str">
        <f t="shared" si="1"/>
        <v>      玉溪市妇幼保健院事业收入专项资金</v>
      </c>
      <c r="B51" s="98" t="s">
        <v>1540</v>
      </c>
      <c r="C51" s="98" t="str">
        <f>"A05010201"&amp;"  "&amp;"办公桌"</f>
        <v>A05010201  办公桌</v>
      </c>
      <c r="D51" s="125" t="s">
        <v>1508</v>
      </c>
      <c r="E51" s="130">
        <v>2</v>
      </c>
      <c r="F51" s="30"/>
      <c r="G51" s="48">
        <v>3600</v>
      </c>
      <c r="H51" s="48"/>
      <c r="I51" s="48"/>
      <c r="J51" s="48"/>
      <c r="K51" s="48"/>
      <c r="L51" s="48">
        <v>3600</v>
      </c>
      <c r="M51" s="48">
        <v>3600</v>
      </c>
      <c r="N51" s="48"/>
      <c r="O51" s="48"/>
      <c r="P51" s="48"/>
      <c r="Q51" s="48"/>
    </row>
    <row r="52" ht="21" customHeight="true" spans="1:17">
      <c r="A52" s="97" t="str">
        <f t="shared" si="1"/>
        <v>      玉溪市妇幼保健院事业收入专项资金</v>
      </c>
      <c r="B52" s="98" t="s">
        <v>1519</v>
      </c>
      <c r="C52" s="98" t="str">
        <f>"A02021007"&amp;"  "&amp;"条码打印机"</f>
        <v>A02021007  条码打印机</v>
      </c>
      <c r="D52" s="125" t="s">
        <v>1508</v>
      </c>
      <c r="E52" s="130">
        <v>1</v>
      </c>
      <c r="F52" s="30"/>
      <c r="G52" s="48">
        <v>1400</v>
      </c>
      <c r="H52" s="48"/>
      <c r="I52" s="48"/>
      <c r="J52" s="48"/>
      <c r="K52" s="48"/>
      <c r="L52" s="48">
        <v>1400</v>
      </c>
      <c r="M52" s="48">
        <v>1400</v>
      </c>
      <c r="N52" s="48"/>
      <c r="O52" s="48"/>
      <c r="P52" s="48"/>
      <c r="Q52" s="48"/>
    </row>
    <row r="53" ht="21" customHeight="true" spans="1:17">
      <c r="A53" s="97" t="str">
        <f t="shared" si="1"/>
        <v>      玉溪市妇幼保健院事业收入专项资金</v>
      </c>
      <c r="B53" s="98" t="s">
        <v>1541</v>
      </c>
      <c r="C53" s="98" t="str">
        <f>"A02320200"&amp;"  "&amp;"普通诊察器械"</f>
        <v>A02320200  普通诊察器械</v>
      </c>
      <c r="D53" s="125" t="s">
        <v>1508</v>
      </c>
      <c r="E53" s="130">
        <v>1</v>
      </c>
      <c r="F53" s="30"/>
      <c r="G53" s="48">
        <v>800</v>
      </c>
      <c r="H53" s="48"/>
      <c r="I53" s="48"/>
      <c r="J53" s="48"/>
      <c r="K53" s="48"/>
      <c r="L53" s="48">
        <v>800</v>
      </c>
      <c r="M53" s="48">
        <v>800</v>
      </c>
      <c r="N53" s="48"/>
      <c r="O53" s="48"/>
      <c r="P53" s="48"/>
      <c r="Q53" s="48"/>
    </row>
    <row r="54" ht="21" customHeight="true" spans="1:17">
      <c r="A54" s="97" t="str">
        <f t="shared" si="1"/>
        <v>      玉溪市妇幼保健院事业收入专项资金</v>
      </c>
      <c r="B54" s="98" t="s">
        <v>1542</v>
      </c>
      <c r="C54" s="98" t="str">
        <f>"A02321900"&amp;"  "&amp;"临床检验设备"</f>
        <v>A02321900  临床检验设备</v>
      </c>
      <c r="D54" s="125" t="s">
        <v>1522</v>
      </c>
      <c r="E54" s="130">
        <v>31</v>
      </c>
      <c r="F54" s="30"/>
      <c r="G54" s="48">
        <v>248000</v>
      </c>
      <c r="H54" s="48"/>
      <c r="I54" s="48"/>
      <c r="J54" s="48"/>
      <c r="K54" s="48"/>
      <c r="L54" s="48">
        <v>248000</v>
      </c>
      <c r="M54" s="48">
        <v>248000</v>
      </c>
      <c r="N54" s="48"/>
      <c r="O54" s="48"/>
      <c r="P54" s="48"/>
      <c r="Q54" s="48"/>
    </row>
    <row r="55" ht="21" customHeight="true" spans="1:17">
      <c r="A55" s="97" t="str">
        <f t="shared" si="1"/>
        <v>      玉溪市妇幼保健院事业收入专项资金</v>
      </c>
      <c r="B55" s="98" t="s">
        <v>1543</v>
      </c>
      <c r="C55" s="98" t="str">
        <f>"A02322500"&amp;"  "&amp;"急救和生命支持设备"</f>
        <v>A02322500  急救和生命支持设备</v>
      </c>
      <c r="D55" s="125" t="s">
        <v>1508</v>
      </c>
      <c r="E55" s="130">
        <v>1</v>
      </c>
      <c r="F55" s="30"/>
      <c r="G55" s="48">
        <v>200000</v>
      </c>
      <c r="H55" s="48"/>
      <c r="I55" s="48"/>
      <c r="J55" s="48"/>
      <c r="K55" s="48"/>
      <c r="L55" s="48">
        <v>200000</v>
      </c>
      <c r="M55" s="48">
        <v>200000</v>
      </c>
      <c r="N55" s="48"/>
      <c r="O55" s="48"/>
      <c r="P55" s="48"/>
      <c r="Q55" s="48"/>
    </row>
    <row r="56" ht="21" customHeight="true" spans="1:17">
      <c r="A56" s="97" t="str">
        <f t="shared" si="1"/>
        <v>      玉溪市妇幼保健院事业收入专项资金</v>
      </c>
      <c r="B56" s="98" t="s">
        <v>1544</v>
      </c>
      <c r="C56" s="98" t="str">
        <f>"A02321900"&amp;"  "&amp;"临床检验设备"</f>
        <v>A02321900  临床检验设备</v>
      </c>
      <c r="D56" s="125" t="s">
        <v>1508</v>
      </c>
      <c r="E56" s="130">
        <v>1</v>
      </c>
      <c r="F56" s="30"/>
      <c r="G56" s="48">
        <v>90000</v>
      </c>
      <c r="H56" s="48"/>
      <c r="I56" s="48"/>
      <c r="J56" s="48"/>
      <c r="K56" s="48"/>
      <c r="L56" s="48">
        <v>90000</v>
      </c>
      <c r="M56" s="48">
        <v>90000</v>
      </c>
      <c r="N56" s="48"/>
      <c r="O56" s="48"/>
      <c r="P56" s="48"/>
      <c r="Q56" s="48"/>
    </row>
    <row r="57" ht="21" customHeight="true" spans="1:17">
      <c r="A57" s="97" t="str">
        <f t="shared" si="1"/>
        <v>      玉溪市妇幼保健院事业收入专项资金</v>
      </c>
      <c r="B57" s="98" t="s">
        <v>1545</v>
      </c>
      <c r="C57" s="98" t="str">
        <f>"A02322800"&amp;"  "&amp;"消毒灭菌设备及器具"</f>
        <v>A02322800  消毒灭菌设备及器具</v>
      </c>
      <c r="D57" s="125" t="s">
        <v>1508</v>
      </c>
      <c r="E57" s="130">
        <v>2</v>
      </c>
      <c r="F57" s="30"/>
      <c r="G57" s="48">
        <v>10000</v>
      </c>
      <c r="H57" s="48"/>
      <c r="I57" s="48"/>
      <c r="J57" s="48"/>
      <c r="K57" s="48"/>
      <c r="L57" s="48">
        <v>10000</v>
      </c>
      <c r="M57" s="48">
        <v>10000</v>
      </c>
      <c r="N57" s="48"/>
      <c r="O57" s="48"/>
      <c r="P57" s="48"/>
      <c r="Q57" s="48"/>
    </row>
    <row r="58" ht="21" customHeight="true" spans="1:17">
      <c r="A58" s="97" t="str">
        <f t="shared" si="1"/>
        <v>      玉溪市妇幼保健院事业收入专项资金</v>
      </c>
      <c r="B58" s="98" t="s">
        <v>1546</v>
      </c>
      <c r="C58" s="98" t="str">
        <f>"A05010399"&amp;"  "&amp;"其他椅凳类"</f>
        <v>A05010399  其他椅凳类</v>
      </c>
      <c r="D58" s="125" t="s">
        <v>1530</v>
      </c>
      <c r="E58" s="130">
        <v>8</v>
      </c>
      <c r="F58" s="30"/>
      <c r="G58" s="48">
        <v>3200</v>
      </c>
      <c r="H58" s="48"/>
      <c r="I58" s="48"/>
      <c r="J58" s="48"/>
      <c r="K58" s="48"/>
      <c r="L58" s="48">
        <v>3200</v>
      </c>
      <c r="M58" s="48">
        <v>3200</v>
      </c>
      <c r="N58" s="48"/>
      <c r="O58" s="48"/>
      <c r="P58" s="48"/>
      <c r="Q58" s="48"/>
    </row>
    <row r="59" ht="21" customHeight="true" spans="1:17">
      <c r="A59" s="97" t="str">
        <f t="shared" si="1"/>
        <v>      玉溪市妇幼保健院事业收入专项资金</v>
      </c>
      <c r="B59" s="98" t="s">
        <v>1547</v>
      </c>
      <c r="C59" s="98" t="str">
        <f>"A02320200"&amp;"  "&amp;"普通诊察器械"</f>
        <v>A02320200  普通诊察器械</v>
      </c>
      <c r="D59" s="125" t="s">
        <v>1508</v>
      </c>
      <c r="E59" s="130">
        <v>3</v>
      </c>
      <c r="F59" s="30"/>
      <c r="G59" s="48">
        <v>1500</v>
      </c>
      <c r="H59" s="48"/>
      <c r="I59" s="48"/>
      <c r="J59" s="48"/>
      <c r="K59" s="48"/>
      <c r="L59" s="48">
        <v>1500</v>
      </c>
      <c r="M59" s="48">
        <v>1500</v>
      </c>
      <c r="N59" s="48"/>
      <c r="O59" s="48"/>
      <c r="P59" s="48"/>
      <c r="Q59" s="48"/>
    </row>
    <row r="60" ht="21" customHeight="true" spans="1:17">
      <c r="A60" s="97" t="str">
        <f t="shared" si="1"/>
        <v>      玉溪市妇幼保健院事业收入专项资金</v>
      </c>
      <c r="B60" s="98" t="s">
        <v>1548</v>
      </c>
      <c r="C60" s="98" t="str">
        <f>"A08060301"&amp;"  "&amp;"基础软件"</f>
        <v>A08060301  基础软件</v>
      </c>
      <c r="D60" s="125" t="s">
        <v>1185</v>
      </c>
      <c r="E60" s="130">
        <v>120</v>
      </c>
      <c r="F60" s="30"/>
      <c r="G60" s="48">
        <v>90000</v>
      </c>
      <c r="H60" s="48"/>
      <c r="I60" s="48"/>
      <c r="J60" s="48"/>
      <c r="K60" s="48"/>
      <c r="L60" s="48">
        <v>90000</v>
      </c>
      <c r="M60" s="48">
        <v>90000</v>
      </c>
      <c r="N60" s="48"/>
      <c r="O60" s="48"/>
      <c r="P60" s="48"/>
      <c r="Q60" s="48"/>
    </row>
    <row r="61" ht="21" customHeight="true" spans="1:17">
      <c r="A61" s="97" t="str">
        <f t="shared" si="1"/>
        <v>      玉溪市妇幼保健院事业收入专项资金</v>
      </c>
      <c r="B61" s="98" t="s">
        <v>1549</v>
      </c>
      <c r="C61" s="98" t="str">
        <f>"A02320300"&amp;"  "&amp;"医用电子生理参数检测仪器设备"</f>
        <v>A02320300  医用电子生理参数检测仪器设备</v>
      </c>
      <c r="D61" s="125" t="s">
        <v>1508</v>
      </c>
      <c r="E61" s="130">
        <v>1</v>
      </c>
      <c r="F61" s="30"/>
      <c r="G61" s="48">
        <v>1780</v>
      </c>
      <c r="H61" s="48"/>
      <c r="I61" s="48"/>
      <c r="J61" s="48"/>
      <c r="K61" s="48"/>
      <c r="L61" s="48">
        <v>1780</v>
      </c>
      <c r="M61" s="48">
        <v>1780</v>
      </c>
      <c r="N61" s="48"/>
      <c r="O61" s="48"/>
      <c r="P61" s="48"/>
      <c r="Q61" s="48"/>
    </row>
    <row r="62" ht="21" customHeight="true" spans="1:17">
      <c r="A62" s="97" t="str">
        <f t="shared" si="1"/>
        <v>      玉溪市妇幼保健院事业收入专项资金</v>
      </c>
      <c r="B62" s="98" t="s">
        <v>1550</v>
      </c>
      <c r="C62" s="98" t="str">
        <f>"A02323100"&amp;"  "&amp;"助残器械"</f>
        <v>A02323100  助残器械</v>
      </c>
      <c r="D62" s="125" t="s">
        <v>1530</v>
      </c>
      <c r="E62" s="130">
        <v>1</v>
      </c>
      <c r="F62" s="30"/>
      <c r="G62" s="48">
        <v>1000</v>
      </c>
      <c r="H62" s="48"/>
      <c r="I62" s="48"/>
      <c r="J62" s="48"/>
      <c r="K62" s="48"/>
      <c r="L62" s="48">
        <v>1000</v>
      </c>
      <c r="M62" s="48">
        <v>1000</v>
      </c>
      <c r="N62" s="48"/>
      <c r="O62" s="48"/>
      <c r="P62" s="48"/>
      <c r="Q62" s="48"/>
    </row>
    <row r="63" ht="21" customHeight="true" spans="1:17">
      <c r="A63" s="97" t="str">
        <f t="shared" si="1"/>
        <v>      玉溪市妇幼保健院事业收入专项资金</v>
      </c>
      <c r="B63" s="98" t="s">
        <v>1535</v>
      </c>
      <c r="C63" s="98" t="str">
        <f>"A02322800"&amp;"  "&amp;"消毒灭菌设备及器具"</f>
        <v>A02322800  消毒灭菌设备及器具</v>
      </c>
      <c r="D63" s="125" t="s">
        <v>1508</v>
      </c>
      <c r="E63" s="130">
        <v>2</v>
      </c>
      <c r="F63" s="30"/>
      <c r="G63" s="48">
        <v>12000</v>
      </c>
      <c r="H63" s="48"/>
      <c r="I63" s="48"/>
      <c r="J63" s="48"/>
      <c r="K63" s="48"/>
      <c r="L63" s="48">
        <v>12000</v>
      </c>
      <c r="M63" s="48">
        <v>12000</v>
      </c>
      <c r="N63" s="48"/>
      <c r="O63" s="48"/>
      <c r="P63" s="48"/>
      <c r="Q63" s="48"/>
    </row>
    <row r="64" ht="21" customHeight="true" spans="1:17">
      <c r="A64" s="97" t="str">
        <f t="shared" si="1"/>
        <v>      玉溪市妇幼保健院事业收入专项资金</v>
      </c>
      <c r="B64" s="98" t="s">
        <v>1551</v>
      </c>
      <c r="C64" s="98" t="str">
        <f>"A02322400"&amp;"  "&amp;"手术室设备及附件"</f>
        <v>A02322400  手术室设备及附件</v>
      </c>
      <c r="D64" s="125" t="s">
        <v>1530</v>
      </c>
      <c r="E64" s="130">
        <v>6</v>
      </c>
      <c r="F64" s="30"/>
      <c r="G64" s="48">
        <v>1200</v>
      </c>
      <c r="H64" s="48"/>
      <c r="I64" s="48"/>
      <c r="J64" s="48"/>
      <c r="K64" s="48"/>
      <c r="L64" s="48">
        <v>1200</v>
      </c>
      <c r="M64" s="48">
        <v>1200</v>
      </c>
      <c r="N64" s="48"/>
      <c r="O64" s="48"/>
      <c r="P64" s="48"/>
      <c r="Q64" s="48"/>
    </row>
    <row r="65" ht="21" customHeight="true" spans="1:17">
      <c r="A65" s="97" t="str">
        <f t="shared" si="1"/>
        <v>      玉溪市妇幼保健院事业收入专项资金</v>
      </c>
      <c r="B65" s="98" t="s">
        <v>1552</v>
      </c>
      <c r="C65" s="98" t="str">
        <f>"A05010301"&amp;"  "&amp;"办公椅"</f>
        <v>A05010301  办公椅</v>
      </c>
      <c r="D65" s="125" t="s">
        <v>1530</v>
      </c>
      <c r="E65" s="130">
        <v>7</v>
      </c>
      <c r="F65" s="30"/>
      <c r="G65" s="48">
        <v>5600</v>
      </c>
      <c r="H65" s="48"/>
      <c r="I65" s="48"/>
      <c r="J65" s="48"/>
      <c r="K65" s="48"/>
      <c r="L65" s="48">
        <v>5600</v>
      </c>
      <c r="M65" s="48">
        <v>5600</v>
      </c>
      <c r="N65" s="48"/>
      <c r="O65" s="48"/>
      <c r="P65" s="48"/>
      <c r="Q65" s="48"/>
    </row>
    <row r="66" ht="21" customHeight="true" spans="1:17">
      <c r="A66" s="97" t="str">
        <f t="shared" si="1"/>
        <v>      玉溪市妇幼保健院事业收入专项资金</v>
      </c>
      <c r="B66" s="98" t="s">
        <v>1553</v>
      </c>
      <c r="C66" s="98" t="str">
        <f>"A02061809"&amp;"  "&amp;"调湿调温机"</f>
        <v>A02061809  调湿调温机</v>
      </c>
      <c r="D66" s="125" t="s">
        <v>1508</v>
      </c>
      <c r="E66" s="130">
        <v>2</v>
      </c>
      <c r="F66" s="30"/>
      <c r="G66" s="48">
        <v>6000</v>
      </c>
      <c r="H66" s="48"/>
      <c r="I66" s="48"/>
      <c r="J66" s="48"/>
      <c r="K66" s="48"/>
      <c r="L66" s="48">
        <v>6000</v>
      </c>
      <c r="M66" s="48">
        <v>6000</v>
      </c>
      <c r="N66" s="48"/>
      <c r="O66" s="48"/>
      <c r="P66" s="48"/>
      <c r="Q66" s="48"/>
    </row>
    <row r="67" ht="21" customHeight="true" spans="1:17">
      <c r="A67" s="97" t="str">
        <f t="shared" si="1"/>
        <v>      玉溪市妇幼保健院事业收入专项资金</v>
      </c>
      <c r="B67" s="98" t="s">
        <v>1554</v>
      </c>
      <c r="C67" s="98" t="str">
        <f>"A02010105"&amp;"  "&amp;"台式计算机"</f>
        <v>A02010105  台式计算机</v>
      </c>
      <c r="D67" s="125" t="s">
        <v>1508</v>
      </c>
      <c r="E67" s="130">
        <v>6</v>
      </c>
      <c r="F67" s="30"/>
      <c r="G67" s="48">
        <v>36000</v>
      </c>
      <c r="H67" s="48"/>
      <c r="I67" s="48"/>
      <c r="J67" s="48"/>
      <c r="K67" s="48"/>
      <c r="L67" s="48">
        <v>36000</v>
      </c>
      <c r="M67" s="48">
        <v>36000</v>
      </c>
      <c r="N67" s="48"/>
      <c r="O67" s="48"/>
      <c r="P67" s="48"/>
      <c r="Q67" s="48"/>
    </row>
    <row r="68" ht="21" customHeight="true" spans="1:17">
      <c r="A68" s="97" t="str">
        <f t="shared" si="1"/>
        <v>      玉溪市妇幼保健院事业收入专项资金</v>
      </c>
      <c r="B68" s="98" t="s">
        <v>1555</v>
      </c>
      <c r="C68" s="98" t="str">
        <f>"A05010399"&amp;"  "&amp;"其他椅凳类"</f>
        <v>A05010399  其他椅凳类</v>
      </c>
      <c r="D68" s="125" t="s">
        <v>1508</v>
      </c>
      <c r="E68" s="130">
        <v>6</v>
      </c>
      <c r="F68" s="30"/>
      <c r="G68" s="48">
        <v>1200</v>
      </c>
      <c r="H68" s="48"/>
      <c r="I68" s="48"/>
      <c r="J68" s="48"/>
      <c r="K68" s="48"/>
      <c r="L68" s="48">
        <v>1200</v>
      </c>
      <c r="M68" s="48">
        <v>1200</v>
      </c>
      <c r="N68" s="48"/>
      <c r="O68" s="48"/>
      <c r="P68" s="48"/>
      <c r="Q68" s="48"/>
    </row>
    <row r="69" ht="21" customHeight="true" spans="1:17">
      <c r="A69" s="97" t="str">
        <f t="shared" si="1"/>
        <v>      玉溪市妇幼保健院事业收入专项资金</v>
      </c>
      <c r="B69" s="98" t="s">
        <v>1556</v>
      </c>
      <c r="C69" s="98" t="str">
        <f>"A02320100"&amp;"  "&amp;"手术器械"</f>
        <v>A02320100  手术器械</v>
      </c>
      <c r="D69" s="125" t="s">
        <v>1508</v>
      </c>
      <c r="E69" s="130">
        <v>1</v>
      </c>
      <c r="F69" s="30"/>
      <c r="G69" s="48">
        <v>100000</v>
      </c>
      <c r="H69" s="48"/>
      <c r="I69" s="48"/>
      <c r="J69" s="48"/>
      <c r="K69" s="48"/>
      <c r="L69" s="48">
        <v>100000</v>
      </c>
      <c r="M69" s="48">
        <v>100000</v>
      </c>
      <c r="N69" s="48"/>
      <c r="O69" s="48"/>
      <c r="P69" s="48"/>
      <c r="Q69" s="48"/>
    </row>
    <row r="70" ht="21" customHeight="true" spans="1:17">
      <c r="A70" s="97" t="str">
        <f t="shared" si="1"/>
        <v>      玉溪市妇幼保健院事业收入专项资金</v>
      </c>
      <c r="B70" s="98" t="s">
        <v>1510</v>
      </c>
      <c r="C70" s="98" t="str">
        <f>"A05040101"&amp;"  "&amp;"复印纸"</f>
        <v>A05040101  复印纸</v>
      </c>
      <c r="D70" s="125" t="s">
        <v>1537</v>
      </c>
      <c r="E70" s="130">
        <v>1</v>
      </c>
      <c r="F70" s="30"/>
      <c r="G70" s="48">
        <v>200000</v>
      </c>
      <c r="H70" s="48"/>
      <c r="I70" s="48"/>
      <c r="J70" s="48"/>
      <c r="K70" s="48"/>
      <c r="L70" s="48">
        <v>200000</v>
      </c>
      <c r="M70" s="48">
        <v>200000</v>
      </c>
      <c r="N70" s="48"/>
      <c r="O70" s="48"/>
      <c r="P70" s="48"/>
      <c r="Q70" s="48"/>
    </row>
    <row r="71" ht="21" customHeight="true" spans="1:17">
      <c r="A71" s="97" t="str">
        <f t="shared" si="1"/>
        <v>      玉溪市妇幼保健院事业收入专项资金</v>
      </c>
      <c r="B71" s="98" t="s">
        <v>1519</v>
      </c>
      <c r="C71" s="98" t="str">
        <f>"A02021007"&amp;"  "&amp;"条码打印机"</f>
        <v>A02021007  条码打印机</v>
      </c>
      <c r="D71" s="125" t="s">
        <v>1508</v>
      </c>
      <c r="E71" s="130">
        <v>1</v>
      </c>
      <c r="F71" s="30"/>
      <c r="G71" s="48">
        <v>3000</v>
      </c>
      <c r="H71" s="48"/>
      <c r="I71" s="48"/>
      <c r="J71" s="48"/>
      <c r="K71" s="48"/>
      <c r="L71" s="48">
        <v>3000</v>
      </c>
      <c r="M71" s="48">
        <v>3000</v>
      </c>
      <c r="N71" s="48"/>
      <c r="O71" s="48"/>
      <c r="P71" s="48"/>
      <c r="Q71" s="48"/>
    </row>
    <row r="72" ht="21" customHeight="true" spans="1:17">
      <c r="A72" s="97" t="str">
        <f t="shared" si="1"/>
        <v>      玉溪市妇幼保健院事业收入专项资金</v>
      </c>
      <c r="B72" s="98" t="s">
        <v>1557</v>
      </c>
      <c r="C72" s="98" t="str">
        <f>"A02020400"&amp;"  "&amp;"多功能一体机"</f>
        <v>A02020400  多功能一体机</v>
      </c>
      <c r="D72" s="125" t="s">
        <v>1508</v>
      </c>
      <c r="E72" s="130">
        <v>3</v>
      </c>
      <c r="F72" s="30"/>
      <c r="G72" s="48">
        <v>9000</v>
      </c>
      <c r="H72" s="48"/>
      <c r="I72" s="48"/>
      <c r="J72" s="48"/>
      <c r="K72" s="48"/>
      <c r="L72" s="48">
        <v>9000</v>
      </c>
      <c r="M72" s="48">
        <v>9000</v>
      </c>
      <c r="N72" s="48"/>
      <c r="O72" s="48"/>
      <c r="P72" s="48"/>
      <c r="Q72" s="48"/>
    </row>
    <row r="73" ht="21" customHeight="true" spans="1:17">
      <c r="A73" s="97" t="str">
        <f t="shared" si="1"/>
        <v>      玉溪市妇幼保健院事业收入专项资金</v>
      </c>
      <c r="B73" s="98" t="s">
        <v>1519</v>
      </c>
      <c r="C73" s="98" t="str">
        <f>"A02021007"&amp;"  "&amp;"条码打印机"</f>
        <v>A02021007  条码打印机</v>
      </c>
      <c r="D73" s="125" t="s">
        <v>1508</v>
      </c>
      <c r="E73" s="130">
        <v>3</v>
      </c>
      <c r="F73" s="30"/>
      <c r="G73" s="48">
        <v>4500</v>
      </c>
      <c r="H73" s="48"/>
      <c r="I73" s="48"/>
      <c r="J73" s="48"/>
      <c r="K73" s="48"/>
      <c r="L73" s="48">
        <v>4500</v>
      </c>
      <c r="M73" s="48">
        <v>4500</v>
      </c>
      <c r="N73" s="48"/>
      <c r="O73" s="48"/>
      <c r="P73" s="48"/>
      <c r="Q73" s="48"/>
    </row>
    <row r="74" ht="21" customHeight="true" spans="1:17">
      <c r="A74" s="97" t="str">
        <f t="shared" si="1"/>
        <v>      玉溪市妇幼保健院事业收入专项资金</v>
      </c>
      <c r="B74" s="98" t="s">
        <v>1558</v>
      </c>
      <c r="C74" s="98" t="str">
        <f>"A02321900"&amp;"  "&amp;"临床检验设备"</f>
        <v>A02321900  临床检验设备</v>
      </c>
      <c r="D74" s="125" t="s">
        <v>1508</v>
      </c>
      <c r="E74" s="130">
        <v>1</v>
      </c>
      <c r="F74" s="30"/>
      <c r="G74" s="48">
        <v>8500</v>
      </c>
      <c r="H74" s="48"/>
      <c r="I74" s="48"/>
      <c r="J74" s="48"/>
      <c r="K74" s="48"/>
      <c r="L74" s="48">
        <v>8500</v>
      </c>
      <c r="M74" s="48">
        <v>8500</v>
      </c>
      <c r="N74" s="48"/>
      <c r="O74" s="48"/>
      <c r="P74" s="48"/>
      <c r="Q74" s="48"/>
    </row>
    <row r="75" ht="21" customHeight="true" spans="1:17">
      <c r="A75" s="97" t="str">
        <f t="shared" si="1"/>
        <v>      玉溪市妇幼保健院事业收入专项资金</v>
      </c>
      <c r="B75" s="98" t="s">
        <v>1559</v>
      </c>
      <c r="C75" s="98" t="str">
        <f>"A02320200"&amp;"  "&amp;"普通诊察器械"</f>
        <v>A02320200  普通诊察器械</v>
      </c>
      <c r="D75" s="125" t="s">
        <v>1508</v>
      </c>
      <c r="E75" s="130">
        <v>1</v>
      </c>
      <c r="F75" s="30"/>
      <c r="G75" s="48">
        <v>2500</v>
      </c>
      <c r="H75" s="48"/>
      <c r="I75" s="48"/>
      <c r="J75" s="48"/>
      <c r="K75" s="48"/>
      <c r="L75" s="48">
        <v>2500</v>
      </c>
      <c r="M75" s="48">
        <v>2500</v>
      </c>
      <c r="N75" s="48"/>
      <c r="O75" s="48"/>
      <c r="P75" s="48"/>
      <c r="Q75" s="48"/>
    </row>
    <row r="76" ht="21" customHeight="true" spans="1:17">
      <c r="A76" s="97" t="str">
        <f t="shared" si="1"/>
        <v>      玉溪市妇幼保健院事业收入专项资金</v>
      </c>
      <c r="B76" s="98" t="s">
        <v>1560</v>
      </c>
      <c r="C76" s="98" t="str">
        <f>"A02021119"&amp;"  "&amp;"条码扫描器"</f>
        <v>A02021119  条码扫描器</v>
      </c>
      <c r="D76" s="125" t="s">
        <v>1530</v>
      </c>
      <c r="E76" s="130">
        <v>3</v>
      </c>
      <c r="F76" s="30"/>
      <c r="G76" s="48">
        <v>1800</v>
      </c>
      <c r="H76" s="48"/>
      <c r="I76" s="48"/>
      <c r="J76" s="48"/>
      <c r="K76" s="48"/>
      <c r="L76" s="48">
        <v>1800</v>
      </c>
      <c r="M76" s="48">
        <v>1800</v>
      </c>
      <c r="N76" s="48"/>
      <c r="O76" s="48"/>
      <c r="P76" s="48"/>
      <c r="Q76" s="48"/>
    </row>
    <row r="77" ht="21" customHeight="true" spans="1:17">
      <c r="A77" s="97" t="str">
        <f t="shared" si="1"/>
        <v>      玉溪市妇幼保健院事业收入专项资金</v>
      </c>
      <c r="B77" s="98" t="s">
        <v>1561</v>
      </c>
      <c r="C77" s="98" t="str">
        <f>"A05010502"&amp;"  "&amp;"文件柜"</f>
        <v>A05010502  文件柜</v>
      </c>
      <c r="D77" s="125" t="s">
        <v>1522</v>
      </c>
      <c r="E77" s="130">
        <v>1</v>
      </c>
      <c r="F77" s="30"/>
      <c r="G77" s="48">
        <v>800</v>
      </c>
      <c r="H77" s="48"/>
      <c r="I77" s="48"/>
      <c r="J77" s="48"/>
      <c r="K77" s="48"/>
      <c r="L77" s="48">
        <v>800</v>
      </c>
      <c r="M77" s="48">
        <v>800</v>
      </c>
      <c r="N77" s="48"/>
      <c r="O77" s="48"/>
      <c r="P77" s="48"/>
      <c r="Q77" s="48"/>
    </row>
    <row r="78" ht="21" customHeight="true" spans="1:17">
      <c r="A78" s="97" t="str">
        <f t="shared" si="1"/>
        <v>      玉溪市妇幼保健院事业收入专项资金</v>
      </c>
      <c r="B78" s="98" t="s">
        <v>1562</v>
      </c>
      <c r="C78" s="98" t="str">
        <f>"A02320300"&amp;"  "&amp;"医用电子生理参数检测仪器设备"</f>
        <v>A02320300  医用电子生理参数检测仪器设备</v>
      </c>
      <c r="D78" s="125" t="s">
        <v>1508</v>
      </c>
      <c r="E78" s="130">
        <v>1</v>
      </c>
      <c r="F78" s="30"/>
      <c r="G78" s="48">
        <v>25000</v>
      </c>
      <c r="H78" s="48"/>
      <c r="I78" s="48"/>
      <c r="J78" s="48"/>
      <c r="K78" s="48"/>
      <c r="L78" s="48">
        <v>25000</v>
      </c>
      <c r="M78" s="48">
        <v>25000</v>
      </c>
      <c r="N78" s="48"/>
      <c r="O78" s="48"/>
      <c r="P78" s="48"/>
      <c r="Q78" s="48"/>
    </row>
    <row r="79" ht="21" customHeight="true" spans="1:17">
      <c r="A79" s="97" t="str">
        <f t="shared" si="1"/>
        <v>      玉溪市妇幼保健院事业收入专项资金</v>
      </c>
      <c r="B79" s="98" t="s">
        <v>1563</v>
      </c>
      <c r="C79" s="98" t="str">
        <f>"A02320200"&amp;"  "&amp;"普通诊察器械"</f>
        <v>A02320200  普通诊察器械</v>
      </c>
      <c r="D79" s="125" t="s">
        <v>1508</v>
      </c>
      <c r="E79" s="130">
        <v>2</v>
      </c>
      <c r="F79" s="30"/>
      <c r="G79" s="48">
        <v>1000</v>
      </c>
      <c r="H79" s="48"/>
      <c r="I79" s="48"/>
      <c r="J79" s="48"/>
      <c r="K79" s="48"/>
      <c r="L79" s="48">
        <v>1000</v>
      </c>
      <c r="M79" s="48">
        <v>1000</v>
      </c>
      <c r="N79" s="48"/>
      <c r="O79" s="48"/>
      <c r="P79" s="48"/>
      <c r="Q79" s="48"/>
    </row>
    <row r="80" ht="21" customHeight="true" spans="1:17">
      <c r="A80" s="97" t="str">
        <f t="shared" si="1"/>
        <v>      玉溪市妇幼保健院事业收入专项资金</v>
      </c>
      <c r="B80" s="98" t="s">
        <v>1564</v>
      </c>
      <c r="C80" s="98" t="str">
        <f>"C23030000"&amp;"  "&amp;"审计服务"</f>
        <v>C23030000  审计服务</v>
      </c>
      <c r="D80" s="125" t="s">
        <v>1036</v>
      </c>
      <c r="E80" s="130">
        <v>1</v>
      </c>
      <c r="F80" s="30"/>
      <c r="G80" s="48">
        <v>20000</v>
      </c>
      <c r="H80" s="48"/>
      <c r="I80" s="48"/>
      <c r="J80" s="48"/>
      <c r="K80" s="48"/>
      <c r="L80" s="48">
        <v>20000</v>
      </c>
      <c r="M80" s="48">
        <v>20000</v>
      </c>
      <c r="N80" s="48"/>
      <c r="O80" s="48"/>
      <c r="P80" s="48"/>
      <c r="Q80" s="48"/>
    </row>
    <row r="81" ht="21" customHeight="true" spans="1:17">
      <c r="A81" s="97" t="str">
        <f t="shared" si="1"/>
        <v>      玉溪市妇幼保健院事业收入专项资金</v>
      </c>
      <c r="B81" s="98" t="s">
        <v>1540</v>
      </c>
      <c r="C81" s="98" t="str">
        <f>"A05010201"&amp;"  "&amp;"办公桌"</f>
        <v>A05010201  办公桌</v>
      </c>
      <c r="D81" s="125" t="s">
        <v>1565</v>
      </c>
      <c r="E81" s="130">
        <v>1</v>
      </c>
      <c r="F81" s="30"/>
      <c r="G81" s="48">
        <v>500</v>
      </c>
      <c r="H81" s="48"/>
      <c r="I81" s="48"/>
      <c r="J81" s="48"/>
      <c r="K81" s="48"/>
      <c r="L81" s="48">
        <v>500</v>
      </c>
      <c r="M81" s="48">
        <v>500</v>
      </c>
      <c r="N81" s="48"/>
      <c r="O81" s="48"/>
      <c r="P81" s="48"/>
      <c r="Q81" s="48"/>
    </row>
    <row r="82" ht="21" customHeight="true" spans="1:17">
      <c r="A82" s="97" t="str">
        <f t="shared" si="1"/>
        <v>      玉溪市妇幼保健院事业收入专项资金</v>
      </c>
      <c r="B82" s="98" t="s">
        <v>1566</v>
      </c>
      <c r="C82" s="98" t="str">
        <f>"A02020501"&amp;"  "&amp;"数字照相机"</f>
        <v>A02020501  数字照相机</v>
      </c>
      <c r="D82" s="125" t="s">
        <v>1508</v>
      </c>
      <c r="E82" s="130">
        <v>1</v>
      </c>
      <c r="F82" s="30"/>
      <c r="G82" s="48">
        <v>3000</v>
      </c>
      <c r="H82" s="48"/>
      <c r="I82" s="48"/>
      <c r="J82" s="48"/>
      <c r="K82" s="48"/>
      <c r="L82" s="48">
        <v>3000</v>
      </c>
      <c r="M82" s="48">
        <v>3000</v>
      </c>
      <c r="N82" s="48"/>
      <c r="O82" s="48"/>
      <c r="P82" s="48"/>
      <c r="Q82" s="48"/>
    </row>
    <row r="83" ht="21" customHeight="true" spans="1:17">
      <c r="A83" s="97" t="str">
        <f t="shared" si="1"/>
        <v>      玉溪市妇幼保健院事业收入专项资金</v>
      </c>
      <c r="B83" s="98" t="s">
        <v>1519</v>
      </c>
      <c r="C83" s="98" t="str">
        <f>"A02021007"&amp;"  "&amp;"条码打印机"</f>
        <v>A02021007  条码打印机</v>
      </c>
      <c r="D83" s="125" t="s">
        <v>1508</v>
      </c>
      <c r="E83" s="130">
        <v>3</v>
      </c>
      <c r="F83" s="30"/>
      <c r="G83" s="48">
        <v>4500</v>
      </c>
      <c r="H83" s="48"/>
      <c r="I83" s="48"/>
      <c r="J83" s="48"/>
      <c r="K83" s="48"/>
      <c r="L83" s="48">
        <v>4500</v>
      </c>
      <c r="M83" s="48">
        <v>4500</v>
      </c>
      <c r="N83" s="48"/>
      <c r="O83" s="48"/>
      <c r="P83" s="48"/>
      <c r="Q83" s="48"/>
    </row>
    <row r="84" ht="21" customHeight="true" spans="1:17">
      <c r="A84" s="97" t="str">
        <f t="shared" si="1"/>
        <v>      玉溪市妇幼保健院事业收入专项资金</v>
      </c>
      <c r="B84" s="98" t="s">
        <v>1567</v>
      </c>
      <c r="C84" s="98" t="str">
        <f>"A05010399"&amp;"  "&amp;"其他椅凳类"</f>
        <v>A05010399  其他椅凳类</v>
      </c>
      <c r="D84" s="125" t="s">
        <v>1565</v>
      </c>
      <c r="E84" s="130">
        <v>15</v>
      </c>
      <c r="F84" s="30"/>
      <c r="G84" s="48">
        <v>18000</v>
      </c>
      <c r="H84" s="48"/>
      <c r="I84" s="48"/>
      <c r="J84" s="48"/>
      <c r="K84" s="48"/>
      <c r="L84" s="48">
        <v>18000</v>
      </c>
      <c r="M84" s="48">
        <v>18000</v>
      </c>
      <c r="N84" s="48"/>
      <c r="O84" s="48"/>
      <c r="P84" s="48"/>
      <c r="Q84" s="48"/>
    </row>
    <row r="85" ht="21" customHeight="true" spans="1:17">
      <c r="A85" s="97" t="str">
        <f t="shared" si="1"/>
        <v>      玉溪市妇幼保健院事业收入专项资金</v>
      </c>
      <c r="B85" s="98" t="s">
        <v>1568</v>
      </c>
      <c r="C85" s="98" t="str">
        <f>"A05010599"&amp;"  "&amp;"其他柜类"</f>
        <v>A05010599  其他柜类</v>
      </c>
      <c r="D85" s="125" t="s">
        <v>1522</v>
      </c>
      <c r="E85" s="130">
        <v>2</v>
      </c>
      <c r="F85" s="30"/>
      <c r="G85" s="48">
        <v>2000</v>
      </c>
      <c r="H85" s="48"/>
      <c r="I85" s="48"/>
      <c r="J85" s="48"/>
      <c r="K85" s="48"/>
      <c r="L85" s="48">
        <v>2000</v>
      </c>
      <c r="M85" s="48">
        <v>2000</v>
      </c>
      <c r="N85" s="48"/>
      <c r="O85" s="48"/>
      <c r="P85" s="48"/>
      <c r="Q85" s="48"/>
    </row>
    <row r="86" ht="21" customHeight="true" spans="1:17">
      <c r="A86" s="97" t="str">
        <f t="shared" si="1"/>
        <v>      玉溪市妇幼保健院事业收入专项资金</v>
      </c>
      <c r="B86" s="98" t="s">
        <v>1569</v>
      </c>
      <c r="C86" s="98" t="str">
        <f>"A05010304"&amp;"  "&amp;"教学、实验椅凳"</f>
        <v>A05010304  教学、实验椅凳</v>
      </c>
      <c r="D86" s="125" t="s">
        <v>1530</v>
      </c>
      <c r="E86" s="130">
        <v>12</v>
      </c>
      <c r="F86" s="30"/>
      <c r="G86" s="48">
        <v>4800</v>
      </c>
      <c r="H86" s="48"/>
      <c r="I86" s="48"/>
      <c r="J86" s="48"/>
      <c r="K86" s="48"/>
      <c r="L86" s="48">
        <v>4800</v>
      </c>
      <c r="M86" s="48">
        <v>4800</v>
      </c>
      <c r="N86" s="48"/>
      <c r="O86" s="48"/>
      <c r="P86" s="48"/>
      <c r="Q86" s="48"/>
    </row>
    <row r="87" ht="21" customHeight="true" spans="1:17">
      <c r="A87" s="97" t="str">
        <f t="shared" si="1"/>
        <v>      玉溪市妇幼保健院事业收入专项资金</v>
      </c>
      <c r="B87" s="98" t="s">
        <v>1570</v>
      </c>
      <c r="C87" s="98" t="str">
        <f>"C21040001"&amp;"  "&amp;"物业管理服务"</f>
        <v>C21040001  物业管理服务</v>
      </c>
      <c r="D87" s="125" t="s">
        <v>1036</v>
      </c>
      <c r="E87" s="130">
        <v>1</v>
      </c>
      <c r="F87" s="30">
        <v>1000000</v>
      </c>
      <c r="G87" s="48">
        <v>1000000</v>
      </c>
      <c r="H87" s="48"/>
      <c r="I87" s="48"/>
      <c r="J87" s="48"/>
      <c r="K87" s="48"/>
      <c r="L87" s="48">
        <v>1000000</v>
      </c>
      <c r="M87" s="48">
        <v>1000000</v>
      </c>
      <c r="N87" s="48"/>
      <c r="O87" s="48"/>
      <c r="P87" s="48"/>
      <c r="Q87" s="48"/>
    </row>
    <row r="88" ht="21" customHeight="true" spans="1:17">
      <c r="A88" s="97" t="str">
        <f t="shared" si="1"/>
        <v>      玉溪市妇幼保健院事业收入专项资金</v>
      </c>
      <c r="B88" s="98" t="s">
        <v>1571</v>
      </c>
      <c r="C88" s="98" t="str">
        <f>"A02322500"&amp;"  "&amp;"急救和生命支持设备"</f>
        <v>A02322500  急救和生命支持设备</v>
      </c>
      <c r="D88" s="125" t="s">
        <v>1508</v>
      </c>
      <c r="E88" s="130">
        <v>2</v>
      </c>
      <c r="F88" s="30"/>
      <c r="G88" s="48">
        <v>12900</v>
      </c>
      <c r="H88" s="48"/>
      <c r="I88" s="48"/>
      <c r="J88" s="48"/>
      <c r="K88" s="48"/>
      <c r="L88" s="48">
        <v>12900</v>
      </c>
      <c r="M88" s="48">
        <v>12900</v>
      </c>
      <c r="N88" s="48"/>
      <c r="O88" s="48"/>
      <c r="P88" s="48"/>
      <c r="Q88" s="48"/>
    </row>
    <row r="89" ht="21" customHeight="true" spans="1:17">
      <c r="A89" s="97" t="str">
        <f t="shared" si="1"/>
        <v>      玉溪市妇幼保健院事业收入专项资金</v>
      </c>
      <c r="B89" s="98" t="s">
        <v>1516</v>
      </c>
      <c r="C89" s="98" t="str">
        <f>"A02021003"&amp;"  "&amp;"A4黑白打印机"</f>
        <v>A02021003  A4黑白打印机</v>
      </c>
      <c r="D89" s="125" t="s">
        <v>1508</v>
      </c>
      <c r="E89" s="130">
        <v>10</v>
      </c>
      <c r="F89" s="30"/>
      <c r="G89" s="48">
        <v>15000</v>
      </c>
      <c r="H89" s="48"/>
      <c r="I89" s="48"/>
      <c r="J89" s="48"/>
      <c r="K89" s="48"/>
      <c r="L89" s="48">
        <v>15000</v>
      </c>
      <c r="M89" s="48">
        <v>15000</v>
      </c>
      <c r="N89" s="48"/>
      <c r="O89" s="48"/>
      <c r="P89" s="48"/>
      <c r="Q89" s="48"/>
    </row>
    <row r="90" ht="21" customHeight="true" spans="1:17">
      <c r="A90" s="97" t="str">
        <f t="shared" si="1"/>
        <v>      玉溪市妇幼保健院事业收入专项资金</v>
      </c>
      <c r="B90" s="98" t="s">
        <v>1523</v>
      </c>
      <c r="C90" s="98" t="str">
        <f>"A02061504"&amp;"  "&amp;"不间断电源"</f>
        <v>A02061504  不间断电源</v>
      </c>
      <c r="D90" s="125" t="s">
        <v>1508</v>
      </c>
      <c r="E90" s="130">
        <v>1</v>
      </c>
      <c r="F90" s="30"/>
      <c r="G90" s="48">
        <v>50000</v>
      </c>
      <c r="H90" s="48"/>
      <c r="I90" s="48"/>
      <c r="J90" s="48"/>
      <c r="K90" s="48"/>
      <c r="L90" s="48">
        <v>50000</v>
      </c>
      <c r="M90" s="48">
        <v>50000</v>
      </c>
      <c r="N90" s="48"/>
      <c r="O90" s="48"/>
      <c r="P90" s="48"/>
      <c r="Q90" s="48"/>
    </row>
    <row r="91" ht="21" customHeight="true" spans="1:17">
      <c r="A91" s="97" t="str">
        <f t="shared" si="1"/>
        <v>      玉溪市妇幼保健院事业收入专项资金</v>
      </c>
      <c r="B91" s="98" t="s">
        <v>1572</v>
      </c>
      <c r="C91" s="98" t="str">
        <f>"A02320700"&amp;"  "&amp;"医用内窥镜"</f>
        <v>A02320700  医用内窥镜</v>
      </c>
      <c r="D91" s="125" t="s">
        <v>1508</v>
      </c>
      <c r="E91" s="130">
        <v>1</v>
      </c>
      <c r="F91" s="30"/>
      <c r="G91" s="48">
        <v>150000</v>
      </c>
      <c r="H91" s="48"/>
      <c r="I91" s="48"/>
      <c r="J91" s="48"/>
      <c r="K91" s="48"/>
      <c r="L91" s="48">
        <v>150000</v>
      </c>
      <c r="M91" s="48">
        <v>150000</v>
      </c>
      <c r="N91" s="48"/>
      <c r="O91" s="48"/>
      <c r="P91" s="48"/>
      <c r="Q91" s="48"/>
    </row>
    <row r="92" ht="21" customHeight="true" spans="1:17">
      <c r="A92" s="97" t="str">
        <f t="shared" si="1"/>
        <v>      玉溪市妇幼保健院事业收入专项资金</v>
      </c>
      <c r="B92" s="98" t="s">
        <v>1573</v>
      </c>
      <c r="C92" s="98" t="str">
        <f>"A02322800"&amp;"  "&amp;"消毒灭菌设备及器具"</f>
        <v>A02322800  消毒灭菌设备及器具</v>
      </c>
      <c r="D92" s="125" t="s">
        <v>1508</v>
      </c>
      <c r="E92" s="130">
        <v>1</v>
      </c>
      <c r="F92" s="30"/>
      <c r="G92" s="48">
        <v>42000</v>
      </c>
      <c r="H92" s="48"/>
      <c r="I92" s="48"/>
      <c r="J92" s="48"/>
      <c r="K92" s="48"/>
      <c r="L92" s="48">
        <v>42000</v>
      </c>
      <c r="M92" s="48">
        <v>42000</v>
      </c>
      <c r="N92" s="48"/>
      <c r="O92" s="48"/>
      <c r="P92" s="48"/>
      <c r="Q92" s="48"/>
    </row>
    <row r="93" ht="21" customHeight="true" spans="1:17">
      <c r="A93" s="97" t="str">
        <f t="shared" si="1"/>
        <v>      玉溪市妇幼保健院事业收入专项资金</v>
      </c>
      <c r="B93" s="98" t="s">
        <v>1574</v>
      </c>
      <c r="C93" s="98" t="str">
        <f>"A02020400"&amp;"  "&amp;"多功能一体机"</f>
        <v>A02020400  多功能一体机</v>
      </c>
      <c r="D93" s="125" t="s">
        <v>1508</v>
      </c>
      <c r="E93" s="130">
        <v>1</v>
      </c>
      <c r="F93" s="30"/>
      <c r="G93" s="48">
        <v>3000</v>
      </c>
      <c r="H93" s="48"/>
      <c r="I93" s="48"/>
      <c r="J93" s="48"/>
      <c r="K93" s="48"/>
      <c r="L93" s="48">
        <v>3000</v>
      </c>
      <c r="M93" s="48">
        <v>3000</v>
      </c>
      <c r="N93" s="48"/>
      <c r="O93" s="48"/>
      <c r="P93" s="48"/>
      <c r="Q93" s="48"/>
    </row>
    <row r="94" ht="21" customHeight="true" spans="1:17">
      <c r="A94" s="97" t="str">
        <f t="shared" si="1"/>
        <v>      玉溪市妇幼保健院事业收入专项资金</v>
      </c>
      <c r="B94" s="98" t="s">
        <v>1575</v>
      </c>
      <c r="C94" s="98" t="str">
        <f>"A02322700"&amp;"  "&amp;"病房护理及医院设备"</f>
        <v>A02322700  病房护理及医院设备</v>
      </c>
      <c r="D94" s="125" t="s">
        <v>1508</v>
      </c>
      <c r="E94" s="130">
        <v>2</v>
      </c>
      <c r="F94" s="30"/>
      <c r="G94" s="48">
        <v>2000</v>
      </c>
      <c r="H94" s="48"/>
      <c r="I94" s="48"/>
      <c r="J94" s="48"/>
      <c r="K94" s="48"/>
      <c r="L94" s="48">
        <v>2000</v>
      </c>
      <c r="M94" s="48">
        <v>2000</v>
      </c>
      <c r="N94" s="48"/>
      <c r="O94" s="48"/>
      <c r="P94" s="48"/>
      <c r="Q94" s="48"/>
    </row>
    <row r="95" ht="21" customHeight="true" spans="1:17">
      <c r="A95" s="97" t="str">
        <f t="shared" si="1"/>
        <v>      玉溪市妇幼保健院事业收入专项资金</v>
      </c>
      <c r="B95" s="98" t="s">
        <v>1576</v>
      </c>
      <c r="C95" s="98" t="str">
        <f>"A02320200"&amp;"  "&amp;"普通诊察器械"</f>
        <v>A02320200  普通诊察器械</v>
      </c>
      <c r="D95" s="125" t="s">
        <v>998</v>
      </c>
      <c r="E95" s="130">
        <v>1</v>
      </c>
      <c r="F95" s="30"/>
      <c r="G95" s="48">
        <v>500</v>
      </c>
      <c r="H95" s="48"/>
      <c r="I95" s="48"/>
      <c r="J95" s="48"/>
      <c r="K95" s="48"/>
      <c r="L95" s="48">
        <v>500</v>
      </c>
      <c r="M95" s="48">
        <v>500</v>
      </c>
      <c r="N95" s="48"/>
      <c r="O95" s="48"/>
      <c r="P95" s="48"/>
      <c r="Q95" s="48"/>
    </row>
    <row r="96" ht="21" customHeight="true" spans="1:17">
      <c r="A96" s="97" t="str">
        <f t="shared" si="1"/>
        <v>      玉溪市妇幼保健院事业收入专项资金</v>
      </c>
      <c r="B96" s="98" t="s">
        <v>1533</v>
      </c>
      <c r="C96" s="98" t="str">
        <f>"A05010602"&amp;"  "&amp;"金属质架类"</f>
        <v>A05010602  金属质架类</v>
      </c>
      <c r="D96" s="125" t="s">
        <v>1522</v>
      </c>
      <c r="E96" s="130">
        <v>5</v>
      </c>
      <c r="F96" s="30"/>
      <c r="G96" s="48">
        <v>1000</v>
      </c>
      <c r="H96" s="48"/>
      <c r="I96" s="48"/>
      <c r="J96" s="48"/>
      <c r="K96" s="48"/>
      <c r="L96" s="48">
        <v>1000</v>
      </c>
      <c r="M96" s="48">
        <v>1000</v>
      </c>
      <c r="N96" s="48"/>
      <c r="O96" s="48"/>
      <c r="P96" s="48"/>
      <c r="Q96" s="48"/>
    </row>
    <row r="97" ht="21" customHeight="true" spans="1:17">
      <c r="A97" s="97" t="str">
        <f t="shared" ref="A97:A120" si="2">"      "&amp;"玉溪市妇幼保健院事业收入专项资金"</f>
        <v>      玉溪市妇幼保健院事业收入专项资金</v>
      </c>
      <c r="B97" s="98" t="s">
        <v>1577</v>
      </c>
      <c r="C97" s="98" t="str">
        <f>"A02320800"&amp;"  "&amp;"物理治疗、康复及体育治疗仪器设备"</f>
        <v>A02320800  物理治疗、康复及体育治疗仪器设备</v>
      </c>
      <c r="D97" s="125" t="s">
        <v>1508</v>
      </c>
      <c r="E97" s="130">
        <v>1</v>
      </c>
      <c r="F97" s="30"/>
      <c r="G97" s="48">
        <v>91000</v>
      </c>
      <c r="H97" s="48"/>
      <c r="I97" s="48"/>
      <c r="J97" s="48"/>
      <c r="K97" s="48"/>
      <c r="L97" s="48">
        <v>91000</v>
      </c>
      <c r="M97" s="48">
        <v>91000</v>
      </c>
      <c r="N97" s="48"/>
      <c r="O97" s="48"/>
      <c r="P97" s="48"/>
      <c r="Q97" s="48"/>
    </row>
    <row r="98" ht="21" customHeight="true" spans="1:17">
      <c r="A98" s="97" t="str">
        <f t="shared" si="2"/>
        <v>      玉溪市妇幼保健院事业收入专项资金</v>
      </c>
      <c r="B98" s="98" t="s">
        <v>1578</v>
      </c>
      <c r="C98" s="98" t="str">
        <f>"A02021199"&amp;"  "&amp;"其他输入输出设备"</f>
        <v>A02021199  其他输入输出设备</v>
      </c>
      <c r="D98" s="125" t="s">
        <v>1508</v>
      </c>
      <c r="E98" s="130">
        <v>1</v>
      </c>
      <c r="F98" s="30"/>
      <c r="G98" s="48">
        <v>10000</v>
      </c>
      <c r="H98" s="48"/>
      <c r="I98" s="48"/>
      <c r="J98" s="48"/>
      <c r="K98" s="48"/>
      <c r="L98" s="48">
        <v>10000</v>
      </c>
      <c r="M98" s="48">
        <v>10000</v>
      </c>
      <c r="N98" s="48"/>
      <c r="O98" s="48"/>
      <c r="P98" s="48"/>
      <c r="Q98" s="48"/>
    </row>
    <row r="99" ht="21" customHeight="true" spans="1:17">
      <c r="A99" s="97" t="str">
        <f t="shared" si="2"/>
        <v>      玉溪市妇幼保健院事业收入专项资金</v>
      </c>
      <c r="B99" s="98" t="s">
        <v>1579</v>
      </c>
      <c r="C99" s="98" t="str">
        <f>"A02321900"&amp;"  "&amp;"临床检验设备"</f>
        <v>A02321900  临床检验设备</v>
      </c>
      <c r="D99" s="125" t="s">
        <v>1508</v>
      </c>
      <c r="E99" s="130">
        <v>1</v>
      </c>
      <c r="F99" s="30"/>
      <c r="G99" s="48">
        <v>190000</v>
      </c>
      <c r="H99" s="48"/>
      <c r="I99" s="48"/>
      <c r="J99" s="48"/>
      <c r="K99" s="48"/>
      <c r="L99" s="48">
        <v>190000</v>
      </c>
      <c r="M99" s="48">
        <v>190000</v>
      </c>
      <c r="N99" s="48"/>
      <c r="O99" s="48"/>
      <c r="P99" s="48"/>
      <c r="Q99" s="48"/>
    </row>
    <row r="100" ht="21" customHeight="true" spans="1:17">
      <c r="A100" s="97" t="str">
        <f t="shared" si="2"/>
        <v>      玉溪市妇幼保健院事业收入专项资金</v>
      </c>
      <c r="B100" s="98" t="s">
        <v>1540</v>
      </c>
      <c r="C100" s="98" t="str">
        <f>"A05010201"&amp;"  "&amp;"办公桌"</f>
        <v>A05010201  办公桌</v>
      </c>
      <c r="D100" s="125" t="s">
        <v>1565</v>
      </c>
      <c r="E100" s="130">
        <v>4</v>
      </c>
      <c r="F100" s="30"/>
      <c r="G100" s="48">
        <v>8000</v>
      </c>
      <c r="H100" s="48"/>
      <c r="I100" s="48"/>
      <c r="J100" s="48"/>
      <c r="K100" s="48"/>
      <c r="L100" s="48">
        <v>8000</v>
      </c>
      <c r="M100" s="48">
        <v>8000</v>
      </c>
      <c r="N100" s="48"/>
      <c r="O100" s="48"/>
      <c r="P100" s="48"/>
      <c r="Q100" s="48"/>
    </row>
    <row r="101" ht="21" customHeight="true" spans="1:17">
      <c r="A101" s="97" t="str">
        <f t="shared" si="2"/>
        <v>      玉溪市妇幼保健院事业收入专项资金</v>
      </c>
      <c r="B101" s="98" t="s">
        <v>1580</v>
      </c>
      <c r="C101" s="98" t="str">
        <f>"A02021199"&amp;"  "&amp;"其他输入输出设备"</f>
        <v>A02021199  其他输入输出设备</v>
      </c>
      <c r="D101" s="125" t="s">
        <v>1508</v>
      </c>
      <c r="E101" s="130">
        <v>1</v>
      </c>
      <c r="F101" s="30"/>
      <c r="G101" s="48">
        <v>4800</v>
      </c>
      <c r="H101" s="48"/>
      <c r="I101" s="48"/>
      <c r="J101" s="48"/>
      <c r="K101" s="48"/>
      <c r="L101" s="48">
        <v>4800</v>
      </c>
      <c r="M101" s="48">
        <v>4800</v>
      </c>
      <c r="N101" s="48"/>
      <c r="O101" s="48"/>
      <c r="P101" s="48"/>
      <c r="Q101" s="48"/>
    </row>
    <row r="102" ht="21" customHeight="true" spans="1:17">
      <c r="A102" s="97" t="str">
        <f t="shared" si="2"/>
        <v>      玉溪市妇幼保健院事业收入专项资金</v>
      </c>
      <c r="B102" s="98" t="s">
        <v>1581</v>
      </c>
      <c r="C102" s="98" t="str">
        <f>"A02322700"&amp;"  "&amp;"病房护理及医院设备"</f>
        <v>A02322700  病房护理及医院设备</v>
      </c>
      <c r="D102" s="125" t="s">
        <v>998</v>
      </c>
      <c r="E102" s="130">
        <v>2</v>
      </c>
      <c r="F102" s="30"/>
      <c r="G102" s="48">
        <v>300</v>
      </c>
      <c r="H102" s="48"/>
      <c r="I102" s="48"/>
      <c r="J102" s="48"/>
      <c r="K102" s="48"/>
      <c r="L102" s="48">
        <v>300</v>
      </c>
      <c r="M102" s="48">
        <v>300</v>
      </c>
      <c r="N102" s="48"/>
      <c r="O102" s="48"/>
      <c r="P102" s="48"/>
      <c r="Q102" s="48"/>
    </row>
    <row r="103" ht="21" customHeight="true" spans="1:17">
      <c r="A103" s="97" t="str">
        <f t="shared" si="2"/>
        <v>      玉溪市妇幼保健院事业收入专项资金</v>
      </c>
      <c r="B103" s="98" t="s">
        <v>1582</v>
      </c>
      <c r="C103" s="98" t="str">
        <f>"A02321900"&amp;"  "&amp;"临床检验设备"</f>
        <v>A02321900  临床检验设备</v>
      </c>
      <c r="D103" s="125" t="s">
        <v>1508</v>
      </c>
      <c r="E103" s="130">
        <v>2</v>
      </c>
      <c r="F103" s="30"/>
      <c r="G103" s="48">
        <v>300000</v>
      </c>
      <c r="H103" s="48"/>
      <c r="I103" s="48"/>
      <c r="J103" s="48"/>
      <c r="K103" s="48"/>
      <c r="L103" s="48">
        <v>300000</v>
      </c>
      <c r="M103" s="48">
        <v>300000</v>
      </c>
      <c r="N103" s="48"/>
      <c r="O103" s="48"/>
      <c r="P103" s="48"/>
      <c r="Q103" s="48"/>
    </row>
    <row r="104" ht="21" customHeight="true" spans="1:17">
      <c r="A104" s="97" t="str">
        <f t="shared" si="2"/>
        <v>      玉溪市妇幼保健院事业收入专项资金</v>
      </c>
      <c r="B104" s="98" t="s">
        <v>1583</v>
      </c>
      <c r="C104" s="98" t="str">
        <f>"A05010599"&amp;"  "&amp;"其他柜类"</f>
        <v>A05010599  其他柜类</v>
      </c>
      <c r="D104" s="125" t="s">
        <v>1522</v>
      </c>
      <c r="E104" s="130">
        <v>10</v>
      </c>
      <c r="F104" s="30"/>
      <c r="G104" s="48">
        <v>8000</v>
      </c>
      <c r="H104" s="48"/>
      <c r="I104" s="48"/>
      <c r="J104" s="48"/>
      <c r="K104" s="48"/>
      <c r="L104" s="48">
        <v>8000</v>
      </c>
      <c r="M104" s="48">
        <v>8000</v>
      </c>
      <c r="N104" s="48"/>
      <c r="O104" s="48"/>
      <c r="P104" s="48"/>
      <c r="Q104" s="48"/>
    </row>
    <row r="105" ht="21" customHeight="true" spans="1:17">
      <c r="A105" s="97" t="str">
        <f t="shared" si="2"/>
        <v>      玉溪市妇幼保健院事业收入专项资金</v>
      </c>
      <c r="B105" s="98" t="s">
        <v>1561</v>
      </c>
      <c r="C105" s="98" t="str">
        <f>"A05010502"&amp;"  "&amp;"文件柜"</f>
        <v>A05010502  文件柜</v>
      </c>
      <c r="D105" s="125" t="s">
        <v>1522</v>
      </c>
      <c r="E105" s="130">
        <v>3</v>
      </c>
      <c r="F105" s="30"/>
      <c r="G105" s="48">
        <v>2400</v>
      </c>
      <c r="H105" s="48"/>
      <c r="I105" s="48"/>
      <c r="J105" s="48"/>
      <c r="K105" s="48"/>
      <c r="L105" s="48">
        <v>2400</v>
      </c>
      <c r="M105" s="48">
        <v>2400</v>
      </c>
      <c r="N105" s="48"/>
      <c r="O105" s="48"/>
      <c r="P105" s="48"/>
      <c r="Q105" s="48"/>
    </row>
    <row r="106" ht="21" customHeight="true" spans="1:17">
      <c r="A106" s="97" t="str">
        <f t="shared" si="2"/>
        <v>      玉溪市妇幼保健院事业收入专项资金</v>
      </c>
      <c r="B106" s="98" t="s">
        <v>1523</v>
      </c>
      <c r="C106" s="98" t="str">
        <f>"A02061504"&amp;"  "&amp;"不间断电源"</f>
        <v>A02061504  不间断电源</v>
      </c>
      <c r="D106" s="125" t="s">
        <v>1508</v>
      </c>
      <c r="E106" s="130">
        <v>4</v>
      </c>
      <c r="F106" s="30"/>
      <c r="G106" s="48">
        <v>2000</v>
      </c>
      <c r="H106" s="48"/>
      <c r="I106" s="48"/>
      <c r="J106" s="48"/>
      <c r="K106" s="48"/>
      <c r="L106" s="48">
        <v>2000</v>
      </c>
      <c r="M106" s="48">
        <v>2000</v>
      </c>
      <c r="N106" s="48"/>
      <c r="O106" s="48"/>
      <c r="P106" s="48"/>
      <c r="Q106" s="48"/>
    </row>
    <row r="107" ht="21" customHeight="true" spans="1:17">
      <c r="A107" s="97" t="str">
        <f t="shared" si="2"/>
        <v>      玉溪市妇幼保健院事业收入专项资金</v>
      </c>
      <c r="B107" s="98" t="s">
        <v>1584</v>
      </c>
      <c r="C107" s="98" t="str">
        <f>"A02320800"&amp;"  "&amp;"物理治疗、康复及体育治疗仪器设备"</f>
        <v>A02320800  物理治疗、康复及体育治疗仪器设备</v>
      </c>
      <c r="D107" s="125" t="s">
        <v>1508</v>
      </c>
      <c r="E107" s="130">
        <v>1</v>
      </c>
      <c r="F107" s="30"/>
      <c r="G107" s="48">
        <v>50000</v>
      </c>
      <c r="H107" s="48"/>
      <c r="I107" s="48"/>
      <c r="J107" s="48"/>
      <c r="K107" s="48"/>
      <c r="L107" s="48">
        <v>50000</v>
      </c>
      <c r="M107" s="48">
        <v>50000</v>
      </c>
      <c r="N107" s="48"/>
      <c r="O107" s="48"/>
      <c r="P107" s="48"/>
      <c r="Q107" s="48"/>
    </row>
    <row r="108" ht="21" customHeight="true" spans="1:17">
      <c r="A108" s="97" t="str">
        <f t="shared" si="2"/>
        <v>      玉溪市妇幼保健院事业收入专项资金</v>
      </c>
      <c r="B108" s="98" t="s">
        <v>1585</v>
      </c>
      <c r="C108" s="98" t="str">
        <f>"A02321900"&amp;"  "&amp;"临床检验设备"</f>
        <v>A02321900  临床检验设备</v>
      </c>
      <c r="D108" s="125" t="s">
        <v>1508</v>
      </c>
      <c r="E108" s="130">
        <v>1</v>
      </c>
      <c r="F108" s="30"/>
      <c r="G108" s="48">
        <v>50000</v>
      </c>
      <c r="H108" s="48"/>
      <c r="I108" s="48"/>
      <c r="J108" s="48"/>
      <c r="K108" s="48"/>
      <c r="L108" s="48">
        <v>50000</v>
      </c>
      <c r="M108" s="48">
        <v>50000</v>
      </c>
      <c r="N108" s="48"/>
      <c r="O108" s="48"/>
      <c r="P108" s="48"/>
      <c r="Q108" s="48"/>
    </row>
    <row r="109" ht="21" customHeight="true" spans="1:17">
      <c r="A109" s="97" t="str">
        <f t="shared" si="2"/>
        <v>      玉溪市妇幼保健院事业收入专项资金</v>
      </c>
      <c r="B109" s="98" t="s">
        <v>1586</v>
      </c>
      <c r="C109" s="98" t="str">
        <f>"A05010504"&amp;"  "&amp;"保密柜"</f>
        <v>A05010504  保密柜</v>
      </c>
      <c r="D109" s="125" t="s">
        <v>1508</v>
      </c>
      <c r="E109" s="130">
        <v>1</v>
      </c>
      <c r="F109" s="30"/>
      <c r="G109" s="48">
        <v>3500</v>
      </c>
      <c r="H109" s="48"/>
      <c r="I109" s="48"/>
      <c r="J109" s="48"/>
      <c r="K109" s="48"/>
      <c r="L109" s="48">
        <v>3500</v>
      </c>
      <c r="M109" s="48">
        <v>3500</v>
      </c>
      <c r="N109" s="48"/>
      <c r="O109" s="48"/>
      <c r="P109" s="48"/>
      <c r="Q109" s="48"/>
    </row>
    <row r="110" ht="21" customHeight="true" spans="1:17">
      <c r="A110" s="97" t="str">
        <f t="shared" si="2"/>
        <v>      玉溪市妇幼保健院事业收入专项资金</v>
      </c>
      <c r="B110" s="98" t="s">
        <v>1587</v>
      </c>
      <c r="C110" s="98" t="str">
        <f>"A02021119"&amp;"  "&amp;"条码扫描器"</f>
        <v>A02021119  条码扫描器</v>
      </c>
      <c r="D110" s="125" t="s">
        <v>1508</v>
      </c>
      <c r="E110" s="130">
        <v>1</v>
      </c>
      <c r="F110" s="30"/>
      <c r="G110" s="48">
        <v>3100</v>
      </c>
      <c r="H110" s="48"/>
      <c r="I110" s="48"/>
      <c r="J110" s="48"/>
      <c r="K110" s="48"/>
      <c r="L110" s="48">
        <v>3100</v>
      </c>
      <c r="M110" s="48">
        <v>3100</v>
      </c>
      <c r="N110" s="48"/>
      <c r="O110" s="48"/>
      <c r="P110" s="48"/>
      <c r="Q110" s="48"/>
    </row>
    <row r="111" ht="21" customHeight="true" spans="1:17">
      <c r="A111" s="97" t="str">
        <f t="shared" si="2"/>
        <v>      玉溪市妇幼保健院事业收入专项资金</v>
      </c>
      <c r="B111" s="98" t="s">
        <v>1588</v>
      </c>
      <c r="C111" s="98" t="str">
        <f>"A02021301"&amp;"  "&amp;"碎纸机"</f>
        <v>A02021301  碎纸机</v>
      </c>
      <c r="D111" s="125" t="s">
        <v>1508</v>
      </c>
      <c r="E111" s="130">
        <v>1</v>
      </c>
      <c r="F111" s="30"/>
      <c r="G111" s="48">
        <v>1000</v>
      </c>
      <c r="H111" s="48"/>
      <c r="I111" s="48"/>
      <c r="J111" s="48"/>
      <c r="K111" s="48"/>
      <c r="L111" s="48">
        <v>1000</v>
      </c>
      <c r="M111" s="48">
        <v>1000</v>
      </c>
      <c r="N111" s="48"/>
      <c r="O111" s="48"/>
      <c r="P111" s="48"/>
      <c r="Q111" s="48"/>
    </row>
    <row r="112" ht="21" customHeight="true" spans="1:17">
      <c r="A112" s="97" t="str">
        <f t="shared" si="2"/>
        <v>      玉溪市妇幼保健院事业收入专项资金</v>
      </c>
      <c r="B112" s="98" t="s">
        <v>1589</v>
      </c>
      <c r="C112" s="98" t="str">
        <f>"A02321900"&amp;"  "&amp;"临床检验设备"</f>
        <v>A02321900  临床检验设备</v>
      </c>
      <c r="D112" s="125" t="s">
        <v>1508</v>
      </c>
      <c r="E112" s="130">
        <v>1</v>
      </c>
      <c r="F112" s="30"/>
      <c r="G112" s="48">
        <v>60000</v>
      </c>
      <c r="H112" s="48"/>
      <c r="I112" s="48"/>
      <c r="J112" s="48"/>
      <c r="K112" s="48"/>
      <c r="L112" s="48">
        <v>60000</v>
      </c>
      <c r="M112" s="48">
        <v>60000</v>
      </c>
      <c r="N112" s="48"/>
      <c r="O112" s="48"/>
      <c r="P112" s="48"/>
      <c r="Q112" s="48"/>
    </row>
    <row r="113" ht="21" customHeight="true" spans="1:17">
      <c r="A113" s="97" t="str">
        <f t="shared" si="2"/>
        <v>      玉溪市妇幼保健院事业收入专项资金</v>
      </c>
      <c r="B113" s="98" t="s">
        <v>1590</v>
      </c>
      <c r="C113" s="98" t="str">
        <f>"A02320800"&amp;"  "&amp;"物理治疗、康复及体育治疗仪器设备"</f>
        <v>A02320800  物理治疗、康复及体育治疗仪器设备</v>
      </c>
      <c r="D113" s="125" t="s">
        <v>1508</v>
      </c>
      <c r="E113" s="130">
        <v>1</v>
      </c>
      <c r="F113" s="30"/>
      <c r="G113" s="48">
        <v>40000</v>
      </c>
      <c r="H113" s="48"/>
      <c r="I113" s="48"/>
      <c r="J113" s="48"/>
      <c r="K113" s="48"/>
      <c r="L113" s="48">
        <v>40000</v>
      </c>
      <c r="M113" s="48">
        <v>40000</v>
      </c>
      <c r="N113" s="48"/>
      <c r="O113" s="48"/>
      <c r="P113" s="48"/>
      <c r="Q113" s="48"/>
    </row>
    <row r="114" ht="21" customHeight="true" spans="1:17">
      <c r="A114" s="97" t="str">
        <f t="shared" si="2"/>
        <v>      玉溪市妇幼保健院事业收入专项资金</v>
      </c>
      <c r="B114" s="98" t="s">
        <v>1591</v>
      </c>
      <c r="C114" s="98" t="str">
        <f>"A02322800"&amp;"  "&amp;"消毒灭菌设备及器具"</f>
        <v>A02322800  消毒灭菌设备及器具</v>
      </c>
      <c r="D114" s="125" t="s">
        <v>1508</v>
      </c>
      <c r="E114" s="130">
        <v>1</v>
      </c>
      <c r="F114" s="30"/>
      <c r="G114" s="48">
        <v>2000</v>
      </c>
      <c r="H114" s="48"/>
      <c r="I114" s="48"/>
      <c r="J114" s="48"/>
      <c r="K114" s="48"/>
      <c r="L114" s="48">
        <v>2000</v>
      </c>
      <c r="M114" s="48">
        <v>2000</v>
      </c>
      <c r="N114" s="48"/>
      <c r="O114" s="48"/>
      <c r="P114" s="48"/>
      <c r="Q114" s="48"/>
    </row>
    <row r="115" ht="21" customHeight="true" spans="1:17">
      <c r="A115" s="97" t="str">
        <f t="shared" si="2"/>
        <v>      玉溪市妇幼保健院事业收入专项资金</v>
      </c>
      <c r="B115" s="98" t="s">
        <v>1592</v>
      </c>
      <c r="C115" s="98" t="str">
        <f>"A02320800"&amp;"  "&amp;"物理治疗、康复及体育治疗仪器设备"</f>
        <v>A02320800  物理治疗、康复及体育治疗仪器设备</v>
      </c>
      <c r="D115" s="125" t="s">
        <v>1185</v>
      </c>
      <c r="E115" s="130">
        <v>1</v>
      </c>
      <c r="F115" s="30"/>
      <c r="G115" s="48">
        <v>800</v>
      </c>
      <c r="H115" s="48"/>
      <c r="I115" s="48"/>
      <c r="J115" s="48"/>
      <c r="K115" s="48"/>
      <c r="L115" s="48">
        <v>800</v>
      </c>
      <c r="M115" s="48">
        <v>800</v>
      </c>
      <c r="N115" s="48"/>
      <c r="O115" s="48"/>
      <c r="P115" s="48"/>
      <c r="Q115" s="48"/>
    </row>
    <row r="116" ht="21" customHeight="true" spans="1:17">
      <c r="A116" s="97" t="str">
        <f t="shared" si="2"/>
        <v>      玉溪市妇幼保健院事业收入专项资金</v>
      </c>
      <c r="B116" s="98" t="s">
        <v>1519</v>
      </c>
      <c r="C116" s="98" t="str">
        <f>"A02021007"&amp;"  "&amp;"条码打印机"</f>
        <v>A02021007  条码打印机</v>
      </c>
      <c r="D116" s="125" t="s">
        <v>1508</v>
      </c>
      <c r="E116" s="130">
        <v>1</v>
      </c>
      <c r="F116" s="30"/>
      <c r="G116" s="48">
        <v>2000</v>
      </c>
      <c r="H116" s="48"/>
      <c r="I116" s="48"/>
      <c r="J116" s="48"/>
      <c r="K116" s="48"/>
      <c r="L116" s="48">
        <v>2000</v>
      </c>
      <c r="M116" s="48">
        <v>2000</v>
      </c>
      <c r="N116" s="48"/>
      <c r="O116" s="48"/>
      <c r="P116" s="48"/>
      <c r="Q116" s="48"/>
    </row>
    <row r="117" ht="21" customHeight="true" spans="1:17">
      <c r="A117" s="97" t="str">
        <f t="shared" si="2"/>
        <v>      玉溪市妇幼保健院事业收入专项资金</v>
      </c>
      <c r="B117" s="98" t="s">
        <v>1593</v>
      </c>
      <c r="C117" s="98" t="str">
        <f>"A05010399"&amp;"  "&amp;"其他椅凳类"</f>
        <v>A05010399  其他椅凳类</v>
      </c>
      <c r="D117" s="125" t="s">
        <v>1530</v>
      </c>
      <c r="E117" s="130">
        <v>2</v>
      </c>
      <c r="F117" s="30"/>
      <c r="G117" s="48">
        <v>100</v>
      </c>
      <c r="H117" s="48"/>
      <c r="I117" s="48"/>
      <c r="J117" s="48"/>
      <c r="K117" s="48"/>
      <c r="L117" s="48">
        <v>100</v>
      </c>
      <c r="M117" s="48">
        <v>100</v>
      </c>
      <c r="N117" s="48"/>
      <c r="O117" s="48"/>
      <c r="P117" s="48"/>
      <c r="Q117" s="48"/>
    </row>
    <row r="118" ht="21" customHeight="true" spans="1:17">
      <c r="A118" s="97" t="str">
        <f t="shared" si="2"/>
        <v>      玉溪市妇幼保健院事业收入专项资金</v>
      </c>
      <c r="B118" s="98" t="s">
        <v>1594</v>
      </c>
      <c r="C118" s="98" t="str">
        <f>"A05010699"&amp;"  "&amp;"其他架类"</f>
        <v>A05010699  其他架类</v>
      </c>
      <c r="D118" s="125" t="s">
        <v>1508</v>
      </c>
      <c r="E118" s="130">
        <v>1</v>
      </c>
      <c r="F118" s="30"/>
      <c r="G118" s="48">
        <v>1240</v>
      </c>
      <c r="H118" s="48"/>
      <c r="I118" s="48"/>
      <c r="J118" s="48"/>
      <c r="K118" s="48"/>
      <c r="L118" s="48">
        <v>1240</v>
      </c>
      <c r="M118" s="48">
        <v>1240</v>
      </c>
      <c r="N118" s="48"/>
      <c r="O118" s="48"/>
      <c r="P118" s="48"/>
      <c r="Q118" s="48"/>
    </row>
    <row r="119" ht="21" customHeight="true" spans="1:17">
      <c r="A119" s="97" t="str">
        <f t="shared" si="2"/>
        <v>      玉溪市妇幼保健院事业收入专项资金</v>
      </c>
      <c r="B119" s="98" t="s">
        <v>1552</v>
      </c>
      <c r="C119" s="98" t="str">
        <f>"A05010301"&amp;"  "&amp;"办公椅"</f>
        <v>A05010301  办公椅</v>
      </c>
      <c r="D119" s="125" t="s">
        <v>1530</v>
      </c>
      <c r="E119" s="130">
        <v>5</v>
      </c>
      <c r="F119" s="30"/>
      <c r="G119" s="48">
        <v>2500</v>
      </c>
      <c r="H119" s="48"/>
      <c r="I119" s="48"/>
      <c r="J119" s="48"/>
      <c r="K119" s="48"/>
      <c r="L119" s="48">
        <v>2500</v>
      </c>
      <c r="M119" s="48">
        <v>2500</v>
      </c>
      <c r="N119" s="48"/>
      <c r="O119" s="48"/>
      <c r="P119" s="48"/>
      <c r="Q119" s="48"/>
    </row>
    <row r="120" ht="21" customHeight="true" spans="1:17">
      <c r="A120" s="97" t="str">
        <f t="shared" si="2"/>
        <v>      玉溪市妇幼保健院事业收入专项资金</v>
      </c>
      <c r="B120" s="98" t="s">
        <v>1595</v>
      </c>
      <c r="C120" s="98" t="str">
        <f>"A02322900"&amp;"  "&amp;"医用低温、冷疗设备"</f>
        <v>A02322900  医用低温、冷疗设备</v>
      </c>
      <c r="D120" s="125" t="s">
        <v>1508</v>
      </c>
      <c r="E120" s="130">
        <v>1</v>
      </c>
      <c r="F120" s="30"/>
      <c r="G120" s="48">
        <v>42000</v>
      </c>
      <c r="H120" s="48"/>
      <c r="I120" s="48"/>
      <c r="J120" s="48"/>
      <c r="K120" s="48"/>
      <c r="L120" s="48">
        <v>42000</v>
      </c>
      <c r="M120" s="48">
        <v>42000</v>
      </c>
      <c r="N120" s="48"/>
      <c r="O120" s="48"/>
      <c r="P120" s="48"/>
      <c r="Q120" s="48"/>
    </row>
    <row r="121" ht="21" customHeight="true" spans="1:17">
      <c r="A121" s="97" t="str">
        <f>"      "&amp;"公车购置及运维费"</f>
        <v>      公车购置及运维费</v>
      </c>
      <c r="B121" s="98" t="s">
        <v>1596</v>
      </c>
      <c r="C121" s="98" t="str">
        <f>"C23120302"&amp;"  "&amp;"车辆加油、添加燃料服务"</f>
        <v>C23120302  车辆加油、添加燃料服务</v>
      </c>
      <c r="D121" s="125" t="s">
        <v>1505</v>
      </c>
      <c r="E121" s="130">
        <v>1</v>
      </c>
      <c r="F121" s="30"/>
      <c r="G121" s="48">
        <v>20000</v>
      </c>
      <c r="H121" s="48">
        <v>20000</v>
      </c>
      <c r="I121" s="48"/>
      <c r="J121" s="48"/>
      <c r="K121" s="48"/>
      <c r="L121" s="48"/>
      <c r="M121" s="48"/>
      <c r="N121" s="48"/>
      <c r="O121" s="48"/>
      <c r="P121" s="48"/>
      <c r="Q121" s="48"/>
    </row>
    <row r="122" ht="21" customHeight="true" spans="1:17">
      <c r="A122" s="97" t="str">
        <f>"      "&amp;"公车购置及运维费"</f>
        <v>      公车购置及运维费</v>
      </c>
      <c r="B122" s="98" t="s">
        <v>1597</v>
      </c>
      <c r="C122" s="98" t="str">
        <f>"C23120301"&amp;"  "&amp;"车辆维修和保养服务"</f>
        <v>C23120301  车辆维修和保养服务</v>
      </c>
      <c r="D122" s="125" t="s">
        <v>1505</v>
      </c>
      <c r="E122" s="130">
        <v>1</v>
      </c>
      <c r="F122" s="30"/>
      <c r="G122" s="48">
        <v>8900</v>
      </c>
      <c r="H122" s="48">
        <v>8900</v>
      </c>
      <c r="I122" s="48"/>
      <c r="J122" s="48"/>
      <c r="K122" s="48"/>
      <c r="L122" s="48"/>
      <c r="M122" s="48"/>
      <c r="N122" s="48"/>
      <c r="O122" s="48"/>
      <c r="P122" s="48"/>
      <c r="Q122" s="48"/>
    </row>
    <row r="123" ht="21" customHeight="true" spans="1:17">
      <c r="A123" s="97" t="str">
        <f>"      "&amp;"公车购置及运维费"</f>
        <v>      公车购置及运维费</v>
      </c>
      <c r="B123" s="98" t="s">
        <v>1597</v>
      </c>
      <c r="C123" s="98" t="str">
        <f>"C23120301"&amp;"  "&amp;"车辆维修和保养服务"</f>
        <v>C23120301  车辆维修和保养服务</v>
      </c>
      <c r="D123" s="125" t="s">
        <v>1505</v>
      </c>
      <c r="E123" s="130">
        <v>1</v>
      </c>
      <c r="F123" s="30"/>
      <c r="G123" s="48">
        <v>10000</v>
      </c>
      <c r="H123" s="48">
        <v>10000</v>
      </c>
      <c r="I123" s="48"/>
      <c r="J123" s="48"/>
      <c r="K123" s="48"/>
      <c r="L123" s="48"/>
      <c r="M123" s="48"/>
      <c r="N123" s="48"/>
      <c r="O123" s="48"/>
      <c r="P123" s="48"/>
      <c r="Q123" s="48"/>
    </row>
    <row r="124" ht="21" customHeight="true" spans="1:17">
      <c r="A124" s="97" t="str">
        <f>"      "&amp;"公车购置及运维费"</f>
        <v>      公车购置及运维费</v>
      </c>
      <c r="B124" s="98" t="s">
        <v>1598</v>
      </c>
      <c r="C124" s="98" t="str">
        <f>"C23120301"&amp;"  "&amp;"车辆维修和保养服务"</f>
        <v>C23120301  车辆维修和保养服务</v>
      </c>
      <c r="D124" s="125" t="s">
        <v>1505</v>
      </c>
      <c r="E124" s="130">
        <v>1</v>
      </c>
      <c r="F124" s="30"/>
      <c r="G124" s="48">
        <v>13000</v>
      </c>
      <c r="H124" s="48">
        <v>13000</v>
      </c>
      <c r="I124" s="48"/>
      <c r="J124" s="48"/>
      <c r="K124" s="48"/>
      <c r="L124" s="48"/>
      <c r="M124" s="48"/>
      <c r="N124" s="48"/>
      <c r="O124" s="48"/>
      <c r="P124" s="48"/>
      <c r="Q124" s="48"/>
    </row>
    <row r="125" ht="21" customHeight="true" spans="1:17">
      <c r="A125" s="97" t="str">
        <f>"      "&amp;"公车购置及运维费"</f>
        <v>      公车购置及运维费</v>
      </c>
      <c r="B125" s="98" t="s">
        <v>1599</v>
      </c>
      <c r="C125" s="98" t="str">
        <f>"C1804010201"&amp;"  "&amp;"机动车保险服务"</f>
        <v>C1804010201  机动车保险服务</v>
      </c>
      <c r="D125" s="125" t="s">
        <v>1505</v>
      </c>
      <c r="E125" s="130">
        <v>1</v>
      </c>
      <c r="F125" s="30"/>
      <c r="G125" s="48">
        <v>13600</v>
      </c>
      <c r="H125" s="48">
        <v>13600</v>
      </c>
      <c r="I125" s="48"/>
      <c r="J125" s="48"/>
      <c r="K125" s="48"/>
      <c r="L125" s="48"/>
      <c r="M125" s="48"/>
      <c r="N125" s="48"/>
      <c r="O125" s="48"/>
      <c r="P125" s="48"/>
      <c r="Q125" s="48"/>
    </row>
    <row r="126" ht="21" customHeight="true" spans="1:17">
      <c r="A126" s="124" t="s">
        <v>73</v>
      </c>
      <c r="B126" s="18"/>
      <c r="C126" s="18"/>
      <c r="D126" s="18"/>
      <c r="E126" s="18"/>
      <c r="F126" s="129">
        <v>264000</v>
      </c>
      <c r="G126" s="48">
        <v>392800</v>
      </c>
      <c r="H126" s="48">
        <v>327800</v>
      </c>
      <c r="I126" s="48"/>
      <c r="J126" s="48"/>
      <c r="K126" s="48"/>
      <c r="L126" s="48">
        <v>65000</v>
      </c>
      <c r="M126" s="48">
        <v>65000</v>
      </c>
      <c r="N126" s="48"/>
      <c r="O126" s="48"/>
      <c r="P126" s="48"/>
      <c r="Q126" s="48"/>
    </row>
    <row r="127" ht="21" customHeight="true" spans="1:17">
      <c r="A127" s="97" t="str">
        <f>"      "&amp;"公车购置及运维费"</f>
        <v>      公车购置及运维费</v>
      </c>
      <c r="B127" s="98" t="s">
        <v>1596</v>
      </c>
      <c r="C127" s="98" t="str">
        <f>"C23000000"&amp;"  "&amp;"商务服务"</f>
        <v>C23000000  商务服务</v>
      </c>
      <c r="D127" s="125" t="s">
        <v>1505</v>
      </c>
      <c r="E127" s="130">
        <v>1</v>
      </c>
      <c r="F127" s="30"/>
      <c r="G127" s="48">
        <v>68800</v>
      </c>
      <c r="H127" s="48">
        <v>68800</v>
      </c>
      <c r="I127" s="48"/>
      <c r="J127" s="48"/>
      <c r="K127" s="48"/>
      <c r="L127" s="48"/>
      <c r="M127" s="48"/>
      <c r="N127" s="48"/>
      <c r="O127" s="48"/>
      <c r="P127" s="48"/>
      <c r="Q127" s="48"/>
    </row>
    <row r="128" ht="21" customHeight="true" spans="1:17">
      <c r="A128" s="97" t="str">
        <f>"      "&amp;"工作业务（公务用车运维费）经费"</f>
        <v>      工作业务（公务用车运维费）经费</v>
      </c>
      <c r="B128" s="98" t="s">
        <v>1596</v>
      </c>
      <c r="C128" s="98" t="str">
        <f>"C23000000"&amp;"  "&amp;"商务服务"</f>
        <v>C23000000  商务服务</v>
      </c>
      <c r="D128" s="125" t="s">
        <v>1505</v>
      </c>
      <c r="E128" s="130">
        <v>1</v>
      </c>
      <c r="F128" s="30"/>
      <c r="G128" s="48">
        <v>60000</v>
      </c>
      <c r="H128" s="48">
        <v>60000</v>
      </c>
      <c r="I128" s="48"/>
      <c r="J128" s="48"/>
      <c r="K128" s="48"/>
      <c r="L128" s="48"/>
      <c r="M128" s="48"/>
      <c r="N128" s="48"/>
      <c r="O128" s="48"/>
      <c r="P128" s="48"/>
      <c r="Q128" s="48"/>
    </row>
    <row r="129" ht="21" customHeight="true" spans="1:17">
      <c r="A129" s="97" t="str">
        <f>"      "&amp;"物业管理费"</f>
        <v>      物业管理费</v>
      </c>
      <c r="B129" s="98" t="s">
        <v>1600</v>
      </c>
      <c r="C129" s="98" t="str">
        <f>"C21000000"&amp;"  "&amp;"房地产服务"</f>
        <v>C21000000  房地产服务</v>
      </c>
      <c r="D129" s="125" t="s">
        <v>1505</v>
      </c>
      <c r="E129" s="130">
        <v>1</v>
      </c>
      <c r="F129" s="30">
        <v>199000</v>
      </c>
      <c r="G129" s="48">
        <v>199000</v>
      </c>
      <c r="H129" s="48">
        <v>199000</v>
      </c>
      <c r="I129" s="48"/>
      <c r="J129" s="48"/>
      <c r="K129" s="48"/>
      <c r="L129" s="48"/>
      <c r="M129" s="48"/>
      <c r="N129" s="48"/>
      <c r="O129" s="48"/>
      <c r="P129" s="48"/>
      <c r="Q129" s="48"/>
    </row>
    <row r="130" ht="21" customHeight="true" spans="1:17">
      <c r="A130" s="97" t="str">
        <f>"      "&amp;"血站事业收入专项资金"</f>
        <v>      血站事业收入专项资金</v>
      </c>
      <c r="B130" s="98" t="s">
        <v>1601</v>
      </c>
      <c r="C130" s="98" t="str">
        <f>"A02000000"&amp;"  "&amp;"设备"</f>
        <v>A02000000  设备</v>
      </c>
      <c r="D130" s="125" t="s">
        <v>1505</v>
      </c>
      <c r="E130" s="130">
        <v>1</v>
      </c>
      <c r="F130" s="30">
        <v>3000</v>
      </c>
      <c r="G130" s="48">
        <v>3000</v>
      </c>
      <c r="H130" s="48"/>
      <c r="I130" s="48"/>
      <c r="J130" s="48"/>
      <c r="K130" s="48"/>
      <c r="L130" s="48">
        <v>3000</v>
      </c>
      <c r="M130" s="48">
        <v>3000</v>
      </c>
      <c r="N130" s="48"/>
      <c r="O130" s="48"/>
      <c r="P130" s="48"/>
      <c r="Q130" s="48"/>
    </row>
    <row r="131" ht="21" customHeight="true" spans="1:17">
      <c r="A131" s="97" t="str">
        <f>"      "&amp;"血站事业收入专项资金"</f>
        <v>      血站事业收入专项资金</v>
      </c>
      <c r="B131" s="98" t="s">
        <v>1602</v>
      </c>
      <c r="C131" s="98" t="str">
        <f>"A05000000"&amp;"  "&amp;"家具和用具"</f>
        <v>A05000000  家具和用具</v>
      </c>
      <c r="D131" s="125" t="s">
        <v>1505</v>
      </c>
      <c r="E131" s="130">
        <v>1</v>
      </c>
      <c r="F131" s="30">
        <v>62000</v>
      </c>
      <c r="G131" s="48">
        <v>62000</v>
      </c>
      <c r="H131" s="48"/>
      <c r="I131" s="48"/>
      <c r="J131" s="48"/>
      <c r="K131" s="48"/>
      <c r="L131" s="48">
        <v>62000</v>
      </c>
      <c r="M131" s="48">
        <v>62000</v>
      </c>
      <c r="N131" s="48"/>
      <c r="O131" s="48"/>
      <c r="P131" s="48"/>
      <c r="Q131" s="48"/>
    </row>
    <row r="132" ht="21" customHeight="true" spans="1:17">
      <c r="A132" s="124" t="s">
        <v>75</v>
      </c>
      <c r="B132" s="18"/>
      <c r="C132" s="18"/>
      <c r="D132" s="18"/>
      <c r="E132" s="18"/>
      <c r="F132" s="129">
        <v>2160000</v>
      </c>
      <c r="G132" s="48">
        <v>148262075</v>
      </c>
      <c r="H132" s="48"/>
      <c r="I132" s="48"/>
      <c r="J132" s="48"/>
      <c r="K132" s="48"/>
      <c r="L132" s="48">
        <v>148262075</v>
      </c>
      <c r="M132" s="48">
        <v>148262075</v>
      </c>
      <c r="N132" s="48"/>
      <c r="O132" s="48"/>
      <c r="P132" s="48"/>
      <c r="Q132" s="48"/>
    </row>
    <row r="133" ht="21" customHeight="true" spans="1:17">
      <c r="A133" s="97" t="str">
        <f t="shared" ref="A133:A170" si="3">"      "&amp;"市人民医院事业支出经费"</f>
        <v>      市人民医院事业支出经费</v>
      </c>
      <c r="B133" s="98" t="s">
        <v>1603</v>
      </c>
      <c r="C133" s="98" t="str">
        <f>"A07000000"&amp;"  "&amp;"物资"</f>
        <v>A07000000  物资</v>
      </c>
      <c r="D133" s="125" t="s">
        <v>1036</v>
      </c>
      <c r="E133" s="130">
        <v>1</v>
      </c>
      <c r="F133" s="30"/>
      <c r="G133" s="48">
        <v>13100000</v>
      </c>
      <c r="H133" s="48"/>
      <c r="I133" s="48"/>
      <c r="J133" s="48"/>
      <c r="K133" s="48"/>
      <c r="L133" s="48">
        <v>13100000</v>
      </c>
      <c r="M133" s="48">
        <v>13100000</v>
      </c>
      <c r="N133" s="48"/>
      <c r="O133" s="48"/>
      <c r="P133" s="48"/>
      <c r="Q133" s="48"/>
    </row>
    <row r="134" ht="21" customHeight="true" spans="1:17">
      <c r="A134" s="97" t="str">
        <f t="shared" si="3"/>
        <v>      市人民医院事业支出经费</v>
      </c>
      <c r="B134" s="98" t="s">
        <v>1604</v>
      </c>
      <c r="C134" s="98" t="str">
        <f>"A05000000"&amp;"  "&amp;"家具和用具"</f>
        <v>A05000000  家具和用具</v>
      </c>
      <c r="D134" s="125" t="s">
        <v>1537</v>
      </c>
      <c r="E134" s="130">
        <v>2</v>
      </c>
      <c r="F134" s="30"/>
      <c r="G134" s="48">
        <v>178400</v>
      </c>
      <c r="H134" s="48"/>
      <c r="I134" s="48"/>
      <c r="J134" s="48"/>
      <c r="K134" s="48"/>
      <c r="L134" s="48">
        <v>178400</v>
      </c>
      <c r="M134" s="48">
        <v>178400</v>
      </c>
      <c r="N134" s="48"/>
      <c r="O134" s="48"/>
      <c r="P134" s="48"/>
      <c r="Q134" s="48"/>
    </row>
    <row r="135" ht="21" customHeight="true" spans="1:17">
      <c r="A135" s="97" t="str">
        <f t="shared" si="3"/>
        <v>      市人民医院事业支出经费</v>
      </c>
      <c r="B135" s="98" t="s">
        <v>1605</v>
      </c>
      <c r="C135" s="98" t="str">
        <f>"C21040000"&amp;"  "&amp;"物业管理服务"</f>
        <v>C21040000  物业管理服务</v>
      </c>
      <c r="D135" s="125" t="s">
        <v>1036</v>
      </c>
      <c r="E135" s="130">
        <v>1</v>
      </c>
      <c r="F135" s="30"/>
      <c r="G135" s="48">
        <v>2216070</v>
      </c>
      <c r="H135" s="48"/>
      <c r="I135" s="48"/>
      <c r="J135" s="48"/>
      <c r="K135" s="48"/>
      <c r="L135" s="48">
        <v>2216070</v>
      </c>
      <c r="M135" s="48">
        <v>2216070</v>
      </c>
      <c r="N135" s="48"/>
      <c r="O135" s="48"/>
      <c r="P135" s="48"/>
      <c r="Q135" s="48"/>
    </row>
    <row r="136" ht="21" customHeight="true" spans="1:17">
      <c r="A136" s="97" t="str">
        <f t="shared" si="3"/>
        <v>      市人民医院事业支出经费</v>
      </c>
      <c r="B136" s="98" t="s">
        <v>1606</v>
      </c>
      <c r="C136" s="98" t="str">
        <f>"A02000000"&amp;"  "&amp;"设备"</f>
        <v>A02000000  设备</v>
      </c>
      <c r="D136" s="125" t="s">
        <v>1537</v>
      </c>
      <c r="E136" s="130">
        <v>4</v>
      </c>
      <c r="F136" s="30"/>
      <c r="G136" s="48">
        <v>79000</v>
      </c>
      <c r="H136" s="48"/>
      <c r="I136" s="48"/>
      <c r="J136" s="48"/>
      <c r="K136" s="48"/>
      <c r="L136" s="48">
        <v>79000</v>
      </c>
      <c r="M136" s="48">
        <v>79000</v>
      </c>
      <c r="N136" s="48"/>
      <c r="O136" s="48"/>
      <c r="P136" s="48"/>
      <c r="Q136" s="48"/>
    </row>
    <row r="137" ht="21" customHeight="true" spans="1:17">
      <c r="A137" s="97" t="str">
        <f t="shared" si="3"/>
        <v>      市人民医院事业支出经费</v>
      </c>
      <c r="B137" s="98" t="s">
        <v>1607</v>
      </c>
      <c r="C137" s="98" t="str">
        <f>"C99000000"&amp;"  "&amp;"其他服务"</f>
        <v>C99000000  其他服务</v>
      </c>
      <c r="D137" s="125" t="s">
        <v>1036</v>
      </c>
      <c r="E137" s="130">
        <v>1</v>
      </c>
      <c r="F137" s="30"/>
      <c r="G137" s="48">
        <v>5852100</v>
      </c>
      <c r="H137" s="48"/>
      <c r="I137" s="48"/>
      <c r="J137" s="48"/>
      <c r="K137" s="48"/>
      <c r="L137" s="48">
        <v>5852100</v>
      </c>
      <c r="M137" s="48">
        <v>5852100</v>
      </c>
      <c r="N137" s="48"/>
      <c r="O137" s="48"/>
      <c r="P137" s="48"/>
      <c r="Q137" s="48"/>
    </row>
    <row r="138" ht="21" customHeight="true" spans="1:17">
      <c r="A138" s="97" t="str">
        <f t="shared" si="3"/>
        <v>      市人民医院事业支出经费</v>
      </c>
      <c r="B138" s="98" t="s">
        <v>1608</v>
      </c>
      <c r="C138" s="98" t="str">
        <f>"C23120000"&amp;"  "&amp;"维修和保养服务"</f>
        <v>C23120000  维修和保养服务</v>
      </c>
      <c r="D138" s="125" t="s">
        <v>1036</v>
      </c>
      <c r="E138" s="130">
        <v>1</v>
      </c>
      <c r="F138" s="30"/>
      <c r="G138" s="48">
        <v>110000</v>
      </c>
      <c r="H138" s="48"/>
      <c r="I138" s="48"/>
      <c r="J138" s="48"/>
      <c r="K138" s="48"/>
      <c r="L138" s="48">
        <v>110000</v>
      </c>
      <c r="M138" s="48">
        <v>110000</v>
      </c>
      <c r="N138" s="48"/>
      <c r="O138" s="48"/>
      <c r="P138" s="48"/>
      <c r="Q138" s="48"/>
    </row>
    <row r="139" ht="21" customHeight="true" spans="1:17">
      <c r="A139" s="97" t="str">
        <f t="shared" si="3"/>
        <v>      市人民医院事业支出经费</v>
      </c>
      <c r="B139" s="98" t="s">
        <v>1609</v>
      </c>
      <c r="C139" s="98" t="str">
        <f>"C18000000"&amp;"  "&amp;"金融服务"</f>
        <v>C18000000  金融服务</v>
      </c>
      <c r="D139" s="125" t="s">
        <v>1036</v>
      </c>
      <c r="E139" s="130">
        <v>1</v>
      </c>
      <c r="F139" s="30"/>
      <c r="G139" s="48">
        <v>85000</v>
      </c>
      <c r="H139" s="48"/>
      <c r="I139" s="48"/>
      <c r="J139" s="48"/>
      <c r="K139" s="48"/>
      <c r="L139" s="48">
        <v>85000</v>
      </c>
      <c r="M139" s="48">
        <v>85000</v>
      </c>
      <c r="N139" s="48"/>
      <c r="O139" s="48"/>
      <c r="P139" s="48"/>
      <c r="Q139" s="48"/>
    </row>
    <row r="140" ht="21" customHeight="true" spans="1:17">
      <c r="A140" s="97" t="str">
        <f t="shared" si="3"/>
        <v>      市人民医院事业支出经费</v>
      </c>
      <c r="B140" s="98" t="s">
        <v>1610</v>
      </c>
      <c r="C140" s="98" t="str">
        <f>"A02051227"&amp;"  "&amp;"电梯"</f>
        <v>A02051227  电梯</v>
      </c>
      <c r="D140" s="125" t="s">
        <v>1508</v>
      </c>
      <c r="E140" s="130">
        <v>1</v>
      </c>
      <c r="F140" s="30"/>
      <c r="G140" s="48">
        <v>350000</v>
      </c>
      <c r="H140" s="48"/>
      <c r="I140" s="48"/>
      <c r="J140" s="48"/>
      <c r="K140" s="48"/>
      <c r="L140" s="48">
        <v>350000</v>
      </c>
      <c r="M140" s="48">
        <v>350000</v>
      </c>
      <c r="N140" s="48"/>
      <c r="O140" s="48"/>
      <c r="P140" s="48"/>
      <c r="Q140" s="48"/>
    </row>
    <row r="141" ht="21" customHeight="true" spans="1:17">
      <c r="A141" s="97" t="str">
        <f t="shared" si="3"/>
        <v>      市人民医院事业支出经费</v>
      </c>
      <c r="B141" s="98" t="s">
        <v>1611</v>
      </c>
      <c r="C141" s="98" t="str">
        <f>"A07029900"&amp;"  "&amp;"其他医药品"</f>
        <v>A07029900  其他医药品</v>
      </c>
      <c r="D141" s="125" t="s">
        <v>1036</v>
      </c>
      <c r="E141" s="130">
        <v>1</v>
      </c>
      <c r="F141" s="30"/>
      <c r="G141" s="48">
        <v>5000000</v>
      </c>
      <c r="H141" s="48"/>
      <c r="I141" s="48"/>
      <c r="J141" s="48"/>
      <c r="K141" s="48"/>
      <c r="L141" s="48">
        <v>5000000</v>
      </c>
      <c r="M141" s="48">
        <v>5000000</v>
      </c>
      <c r="N141" s="48"/>
      <c r="O141" s="48"/>
      <c r="P141" s="48"/>
      <c r="Q141" s="48"/>
    </row>
    <row r="142" ht="21" customHeight="true" spans="1:17">
      <c r="A142" s="97" t="str">
        <f t="shared" si="3"/>
        <v>      市人民医院事业支出经费</v>
      </c>
      <c r="B142" s="98" t="s">
        <v>1612</v>
      </c>
      <c r="C142" s="98" t="str">
        <f>"B01000000"&amp;"  "&amp;"房屋施工"</f>
        <v>B01000000  房屋施工</v>
      </c>
      <c r="D142" s="125" t="s">
        <v>1505</v>
      </c>
      <c r="E142" s="130">
        <v>1</v>
      </c>
      <c r="F142" s="30"/>
      <c r="G142" s="48">
        <v>30000000</v>
      </c>
      <c r="H142" s="48"/>
      <c r="I142" s="48"/>
      <c r="J142" s="48"/>
      <c r="K142" s="48"/>
      <c r="L142" s="48">
        <v>30000000</v>
      </c>
      <c r="M142" s="48">
        <v>30000000</v>
      </c>
      <c r="N142" s="48"/>
      <c r="O142" s="48"/>
      <c r="P142" s="48"/>
      <c r="Q142" s="48"/>
    </row>
    <row r="143" ht="21" customHeight="true" spans="1:17">
      <c r="A143" s="97" t="str">
        <f t="shared" si="3"/>
        <v>      市人民医院事业支出经费</v>
      </c>
      <c r="B143" s="98" t="s">
        <v>1613</v>
      </c>
      <c r="C143" s="98" t="str">
        <f>"A07020000"&amp;"  "&amp;"医药品"</f>
        <v>A07020000  医药品</v>
      </c>
      <c r="D143" s="125" t="s">
        <v>1036</v>
      </c>
      <c r="E143" s="130">
        <v>3</v>
      </c>
      <c r="F143" s="30"/>
      <c r="G143" s="48">
        <v>10500000</v>
      </c>
      <c r="H143" s="48"/>
      <c r="I143" s="48"/>
      <c r="J143" s="48"/>
      <c r="K143" s="48"/>
      <c r="L143" s="48">
        <v>10500000</v>
      </c>
      <c r="M143" s="48">
        <v>10500000</v>
      </c>
      <c r="N143" s="48"/>
      <c r="O143" s="48"/>
      <c r="P143" s="48"/>
      <c r="Q143" s="48"/>
    </row>
    <row r="144" ht="21" customHeight="true" spans="1:17">
      <c r="A144" s="97" t="str">
        <f t="shared" si="3"/>
        <v>      市人民医院事业支出经费</v>
      </c>
      <c r="B144" s="98" t="s">
        <v>1614</v>
      </c>
      <c r="C144" s="98" t="str">
        <f>"C99000000"&amp;"  "&amp;"其他服务"</f>
        <v>C99000000  其他服务</v>
      </c>
      <c r="D144" s="125" t="s">
        <v>1505</v>
      </c>
      <c r="E144" s="130">
        <v>1</v>
      </c>
      <c r="F144" s="30"/>
      <c r="G144" s="48">
        <v>2000000</v>
      </c>
      <c r="H144" s="48"/>
      <c r="I144" s="48"/>
      <c r="J144" s="48"/>
      <c r="K144" s="48"/>
      <c r="L144" s="48">
        <v>2000000</v>
      </c>
      <c r="M144" s="48">
        <v>2000000</v>
      </c>
      <c r="N144" s="48"/>
      <c r="O144" s="48"/>
      <c r="P144" s="48"/>
      <c r="Q144" s="48"/>
    </row>
    <row r="145" ht="21" customHeight="true" spans="1:17">
      <c r="A145" s="97" t="str">
        <f t="shared" si="3"/>
        <v>      市人民医院事业支出经费</v>
      </c>
      <c r="B145" s="98" t="s">
        <v>1615</v>
      </c>
      <c r="C145" s="98" t="str">
        <f>"C21040000"&amp;"  "&amp;"物业管理服务"</f>
        <v>C21040000  物业管理服务</v>
      </c>
      <c r="D145" s="125" t="s">
        <v>1036</v>
      </c>
      <c r="E145" s="130">
        <v>1</v>
      </c>
      <c r="F145" s="30"/>
      <c r="G145" s="48">
        <v>6687360</v>
      </c>
      <c r="H145" s="48"/>
      <c r="I145" s="48"/>
      <c r="J145" s="48"/>
      <c r="K145" s="48"/>
      <c r="L145" s="48">
        <v>6687360</v>
      </c>
      <c r="M145" s="48">
        <v>6687360</v>
      </c>
      <c r="N145" s="48"/>
      <c r="O145" s="48"/>
      <c r="P145" s="48"/>
      <c r="Q145" s="48"/>
    </row>
    <row r="146" ht="21" customHeight="true" spans="1:17">
      <c r="A146" s="97" t="str">
        <f t="shared" si="3"/>
        <v>      市人民医院事业支出经费</v>
      </c>
      <c r="B146" s="98" t="s">
        <v>1616</v>
      </c>
      <c r="C146" s="98" t="str">
        <f>"B08000000"&amp;"  "&amp;"修缮工程"</f>
        <v>B08000000  修缮工程</v>
      </c>
      <c r="D146" s="125" t="s">
        <v>1505</v>
      </c>
      <c r="E146" s="130">
        <v>2</v>
      </c>
      <c r="F146" s="30">
        <v>1500000</v>
      </c>
      <c r="G146" s="48">
        <v>1500000</v>
      </c>
      <c r="H146" s="48"/>
      <c r="I146" s="48"/>
      <c r="J146" s="48"/>
      <c r="K146" s="48"/>
      <c r="L146" s="48">
        <v>1500000</v>
      </c>
      <c r="M146" s="48">
        <v>1500000</v>
      </c>
      <c r="N146" s="48"/>
      <c r="O146" s="48"/>
      <c r="P146" s="48"/>
      <c r="Q146" s="48"/>
    </row>
    <row r="147" ht="21" customHeight="true" spans="1:17">
      <c r="A147" s="97" t="str">
        <f t="shared" si="3"/>
        <v>      市人民医院事业支出经费</v>
      </c>
      <c r="B147" s="98" t="s">
        <v>1617</v>
      </c>
      <c r="C147" s="98" t="str">
        <f>"C23150000"&amp;"  "&amp;"广告宣传服务"</f>
        <v>C23150000  广告宣传服务</v>
      </c>
      <c r="D147" s="125" t="s">
        <v>1036</v>
      </c>
      <c r="E147" s="130">
        <v>1</v>
      </c>
      <c r="F147" s="30">
        <v>660000</v>
      </c>
      <c r="G147" s="48">
        <v>660000</v>
      </c>
      <c r="H147" s="48"/>
      <c r="I147" s="48"/>
      <c r="J147" s="48"/>
      <c r="K147" s="48"/>
      <c r="L147" s="48">
        <v>660000</v>
      </c>
      <c r="M147" s="48">
        <v>660000</v>
      </c>
      <c r="N147" s="48"/>
      <c r="O147" s="48"/>
      <c r="P147" s="48"/>
      <c r="Q147" s="48"/>
    </row>
    <row r="148" ht="21" customHeight="true" spans="1:17">
      <c r="A148" s="97" t="str">
        <f t="shared" si="3"/>
        <v>      市人民医院事业支出经费</v>
      </c>
      <c r="B148" s="98" t="s">
        <v>1618</v>
      </c>
      <c r="C148" s="98" t="str">
        <f>"A02061504"&amp;"  "&amp;"不间断电源"</f>
        <v>A02061504  不间断电源</v>
      </c>
      <c r="D148" s="125" t="s">
        <v>1508</v>
      </c>
      <c r="E148" s="130">
        <v>1</v>
      </c>
      <c r="F148" s="30"/>
      <c r="G148" s="48">
        <v>45000</v>
      </c>
      <c r="H148" s="48"/>
      <c r="I148" s="48"/>
      <c r="J148" s="48"/>
      <c r="K148" s="48"/>
      <c r="L148" s="48">
        <v>45000</v>
      </c>
      <c r="M148" s="48">
        <v>45000</v>
      </c>
      <c r="N148" s="48"/>
      <c r="O148" s="48"/>
      <c r="P148" s="48"/>
      <c r="Q148" s="48"/>
    </row>
    <row r="149" ht="21" customHeight="true" spans="1:17">
      <c r="A149" s="97" t="str">
        <f t="shared" si="3"/>
        <v>      市人民医院事业支出经费</v>
      </c>
      <c r="B149" s="98" t="s">
        <v>1619</v>
      </c>
      <c r="C149" s="98" t="str">
        <f>"A02000000"&amp;"  "&amp;"设备"</f>
        <v>A02000000  设备</v>
      </c>
      <c r="D149" s="125" t="s">
        <v>1508</v>
      </c>
      <c r="E149" s="130">
        <v>2</v>
      </c>
      <c r="F149" s="30"/>
      <c r="G149" s="48">
        <v>6600</v>
      </c>
      <c r="H149" s="48"/>
      <c r="I149" s="48"/>
      <c r="J149" s="48"/>
      <c r="K149" s="48"/>
      <c r="L149" s="48">
        <v>6600</v>
      </c>
      <c r="M149" s="48">
        <v>6600</v>
      </c>
      <c r="N149" s="48"/>
      <c r="O149" s="48"/>
      <c r="P149" s="48"/>
      <c r="Q149" s="48"/>
    </row>
    <row r="150" ht="21" customHeight="true" spans="1:17">
      <c r="A150" s="97" t="str">
        <f t="shared" si="3"/>
        <v>      市人民医院事业支出经费</v>
      </c>
      <c r="B150" s="98" t="s">
        <v>1620</v>
      </c>
      <c r="C150" s="98" t="str">
        <f>"C21040000"&amp;"  "&amp;"物业管理服务"</f>
        <v>C21040000  物业管理服务</v>
      </c>
      <c r="D150" s="125" t="s">
        <v>1036</v>
      </c>
      <c r="E150" s="130">
        <v>1</v>
      </c>
      <c r="F150" s="30"/>
      <c r="G150" s="48">
        <v>419000</v>
      </c>
      <c r="H150" s="48"/>
      <c r="I150" s="48"/>
      <c r="J150" s="48"/>
      <c r="K150" s="48"/>
      <c r="L150" s="48">
        <v>419000</v>
      </c>
      <c r="M150" s="48">
        <v>419000</v>
      </c>
      <c r="N150" s="48"/>
      <c r="O150" s="48"/>
      <c r="P150" s="48"/>
      <c r="Q150" s="48"/>
    </row>
    <row r="151" ht="21" customHeight="true" spans="1:17">
      <c r="A151" s="97" t="str">
        <f t="shared" si="3"/>
        <v>      市人民医院事业支出经费</v>
      </c>
      <c r="B151" s="98" t="s">
        <v>1621</v>
      </c>
      <c r="C151" s="98" t="str">
        <f>"C21040000"&amp;"  "&amp;"物业管理服务"</f>
        <v>C21040000  物业管理服务</v>
      </c>
      <c r="D151" s="125" t="s">
        <v>1036</v>
      </c>
      <c r="E151" s="130">
        <v>1</v>
      </c>
      <c r="F151" s="30"/>
      <c r="G151" s="48">
        <v>1748451</v>
      </c>
      <c r="H151" s="48"/>
      <c r="I151" s="48"/>
      <c r="J151" s="48"/>
      <c r="K151" s="48"/>
      <c r="L151" s="48">
        <v>1748451</v>
      </c>
      <c r="M151" s="48">
        <v>1748451</v>
      </c>
      <c r="N151" s="48"/>
      <c r="O151" s="48"/>
      <c r="P151" s="48"/>
      <c r="Q151" s="48"/>
    </row>
    <row r="152" ht="21" customHeight="true" spans="1:17">
      <c r="A152" s="97" t="str">
        <f t="shared" si="3"/>
        <v>      市人民医院事业支出经费</v>
      </c>
      <c r="B152" s="98" t="s">
        <v>1622</v>
      </c>
      <c r="C152" s="98" t="str">
        <f>"C17000000"&amp;"  "&amp;"电信和其他信息传输服务"</f>
        <v>C17000000  电信和其他信息传输服务</v>
      </c>
      <c r="D152" s="125" t="s">
        <v>1036</v>
      </c>
      <c r="E152" s="130">
        <v>1</v>
      </c>
      <c r="F152" s="30"/>
      <c r="G152" s="48">
        <v>166500</v>
      </c>
      <c r="H152" s="48"/>
      <c r="I152" s="48"/>
      <c r="J152" s="48"/>
      <c r="K152" s="48"/>
      <c r="L152" s="48">
        <v>166500</v>
      </c>
      <c r="M152" s="48">
        <v>166500</v>
      </c>
      <c r="N152" s="48"/>
      <c r="O152" s="48"/>
      <c r="P152" s="48"/>
      <c r="Q152" s="48"/>
    </row>
    <row r="153" ht="21" customHeight="true" spans="1:17">
      <c r="A153" s="97" t="str">
        <f t="shared" si="3"/>
        <v>      市人民医院事业支出经费</v>
      </c>
      <c r="B153" s="98" t="s">
        <v>1623</v>
      </c>
      <c r="C153" s="98" t="str">
        <f>"C17000000"&amp;"  "&amp;"电信和其他信息传输服务"</f>
        <v>C17000000  电信和其他信息传输服务</v>
      </c>
      <c r="D153" s="125" t="s">
        <v>1036</v>
      </c>
      <c r="E153" s="130">
        <v>1</v>
      </c>
      <c r="F153" s="30"/>
      <c r="G153" s="48">
        <v>6640</v>
      </c>
      <c r="H153" s="48"/>
      <c r="I153" s="48"/>
      <c r="J153" s="48"/>
      <c r="K153" s="48"/>
      <c r="L153" s="48">
        <v>6640</v>
      </c>
      <c r="M153" s="48">
        <v>6640</v>
      </c>
      <c r="N153" s="48"/>
      <c r="O153" s="48"/>
      <c r="P153" s="48"/>
      <c r="Q153" s="48"/>
    </row>
    <row r="154" ht="21" customHeight="true" spans="1:17">
      <c r="A154" s="97" t="str">
        <f t="shared" si="3"/>
        <v>      市人民医院事业支出经费</v>
      </c>
      <c r="B154" s="98" t="s">
        <v>1624</v>
      </c>
      <c r="C154" s="98" t="str">
        <f>"C23120000"&amp;"  "&amp;"维修和保养服务"</f>
        <v>C23120000  维修和保养服务</v>
      </c>
      <c r="D154" s="125" t="s">
        <v>1537</v>
      </c>
      <c r="E154" s="130">
        <v>1</v>
      </c>
      <c r="F154" s="30"/>
      <c r="G154" s="48">
        <v>17500000</v>
      </c>
      <c r="H154" s="48"/>
      <c r="I154" s="48"/>
      <c r="J154" s="48"/>
      <c r="K154" s="48"/>
      <c r="L154" s="48">
        <v>17500000</v>
      </c>
      <c r="M154" s="48">
        <v>17500000</v>
      </c>
      <c r="N154" s="48"/>
      <c r="O154" s="48"/>
      <c r="P154" s="48"/>
      <c r="Q154" s="48"/>
    </row>
    <row r="155" ht="21" customHeight="true" spans="1:17">
      <c r="A155" s="97" t="str">
        <f t="shared" si="3"/>
        <v>      市人民医院事业支出经费</v>
      </c>
      <c r="B155" s="98" t="s">
        <v>1625</v>
      </c>
      <c r="C155" s="98" t="str">
        <f>"A02061804"&amp;"  "&amp;"空调机"</f>
        <v>A02061804  空调机</v>
      </c>
      <c r="D155" s="125" t="s">
        <v>1508</v>
      </c>
      <c r="E155" s="130">
        <v>25</v>
      </c>
      <c r="F155" s="30"/>
      <c r="G155" s="48">
        <v>137000</v>
      </c>
      <c r="H155" s="48"/>
      <c r="I155" s="48"/>
      <c r="J155" s="48"/>
      <c r="K155" s="48"/>
      <c r="L155" s="48">
        <v>137000</v>
      </c>
      <c r="M155" s="48">
        <v>137000</v>
      </c>
      <c r="N155" s="48"/>
      <c r="O155" s="48"/>
      <c r="P155" s="48"/>
      <c r="Q155" s="48"/>
    </row>
    <row r="156" ht="21" customHeight="true" spans="1:17">
      <c r="A156" s="97" t="str">
        <f t="shared" si="3"/>
        <v>      市人民医院事业支出经费</v>
      </c>
      <c r="B156" s="98" t="s">
        <v>1626</v>
      </c>
      <c r="C156" s="98" t="str">
        <f>"A02000000"&amp;"  "&amp;"设备"</f>
        <v>A02000000  设备</v>
      </c>
      <c r="D156" s="125" t="s">
        <v>1537</v>
      </c>
      <c r="E156" s="130">
        <v>1</v>
      </c>
      <c r="F156" s="30"/>
      <c r="G156" s="48">
        <v>3988000</v>
      </c>
      <c r="H156" s="48"/>
      <c r="I156" s="48"/>
      <c r="J156" s="48"/>
      <c r="K156" s="48"/>
      <c r="L156" s="48">
        <v>3988000</v>
      </c>
      <c r="M156" s="48">
        <v>3988000</v>
      </c>
      <c r="N156" s="48"/>
      <c r="O156" s="48"/>
      <c r="P156" s="48"/>
      <c r="Q156" s="48"/>
    </row>
    <row r="157" ht="21" customHeight="true" spans="1:17">
      <c r="A157" s="97" t="str">
        <f t="shared" si="3"/>
        <v>      市人民医院事业支出经费</v>
      </c>
      <c r="B157" s="98" t="s">
        <v>1627</v>
      </c>
      <c r="C157" s="98" t="str">
        <f>"C99000000"&amp;"  "&amp;"其他服务"</f>
        <v>C99000000  其他服务</v>
      </c>
      <c r="D157" s="125" t="s">
        <v>1036</v>
      </c>
      <c r="E157" s="130">
        <v>1</v>
      </c>
      <c r="F157" s="30"/>
      <c r="G157" s="48">
        <v>380000</v>
      </c>
      <c r="H157" s="48"/>
      <c r="I157" s="48"/>
      <c r="J157" s="48"/>
      <c r="K157" s="48"/>
      <c r="L157" s="48">
        <v>380000</v>
      </c>
      <c r="M157" s="48">
        <v>380000</v>
      </c>
      <c r="N157" s="48"/>
      <c r="O157" s="48"/>
      <c r="P157" s="48"/>
      <c r="Q157" s="48"/>
    </row>
    <row r="158" ht="21" customHeight="true" spans="1:17">
      <c r="A158" s="97" t="str">
        <f t="shared" si="3"/>
        <v>      市人民医院事业支出经费</v>
      </c>
      <c r="B158" s="98" t="s">
        <v>1628</v>
      </c>
      <c r="C158" s="98" t="str">
        <f>"A02320000"&amp;"  "&amp;"医疗设备"</f>
        <v>A02320000  医疗设备</v>
      </c>
      <c r="D158" s="125" t="s">
        <v>1537</v>
      </c>
      <c r="E158" s="130">
        <v>1</v>
      </c>
      <c r="F158" s="30"/>
      <c r="G158" s="48">
        <v>30000000</v>
      </c>
      <c r="H158" s="48"/>
      <c r="I158" s="48"/>
      <c r="J158" s="48"/>
      <c r="K158" s="48"/>
      <c r="L158" s="48">
        <v>30000000</v>
      </c>
      <c r="M158" s="48">
        <v>30000000</v>
      </c>
      <c r="N158" s="48"/>
      <c r="O158" s="48"/>
      <c r="P158" s="48"/>
      <c r="Q158" s="48"/>
    </row>
    <row r="159" ht="21" customHeight="true" spans="1:17">
      <c r="A159" s="97" t="str">
        <f t="shared" si="3"/>
        <v>      市人民医院事业支出经费</v>
      </c>
      <c r="B159" s="98" t="s">
        <v>1629</v>
      </c>
      <c r="C159" s="98" t="str">
        <f>"A05040101"&amp;"  "&amp;"复印纸"</f>
        <v>A05040101  复印纸</v>
      </c>
      <c r="D159" s="125" t="s">
        <v>1537</v>
      </c>
      <c r="E159" s="130">
        <v>1</v>
      </c>
      <c r="F159" s="30"/>
      <c r="G159" s="48">
        <v>450000</v>
      </c>
      <c r="H159" s="48"/>
      <c r="I159" s="48"/>
      <c r="J159" s="48"/>
      <c r="K159" s="48"/>
      <c r="L159" s="48">
        <v>450000</v>
      </c>
      <c r="M159" s="48">
        <v>450000</v>
      </c>
      <c r="N159" s="48"/>
      <c r="O159" s="48"/>
      <c r="P159" s="48"/>
      <c r="Q159" s="48"/>
    </row>
    <row r="160" ht="21" customHeight="true" spans="1:17">
      <c r="A160" s="97" t="str">
        <f t="shared" si="3"/>
        <v>      市人民医院事业支出经费</v>
      </c>
      <c r="B160" s="98" t="s">
        <v>1630</v>
      </c>
      <c r="C160" s="98" t="str">
        <f>"A08060300"&amp;"  "&amp;"计算机软件"</f>
        <v>A08060300  计算机软件</v>
      </c>
      <c r="D160" s="125" t="s">
        <v>1537</v>
      </c>
      <c r="E160" s="130">
        <v>1</v>
      </c>
      <c r="F160" s="30"/>
      <c r="G160" s="48">
        <v>7520000</v>
      </c>
      <c r="H160" s="48"/>
      <c r="I160" s="48"/>
      <c r="J160" s="48"/>
      <c r="K160" s="48"/>
      <c r="L160" s="48">
        <v>7520000</v>
      </c>
      <c r="M160" s="48">
        <v>7520000</v>
      </c>
      <c r="N160" s="48"/>
      <c r="O160" s="48"/>
      <c r="P160" s="48"/>
      <c r="Q160" s="48"/>
    </row>
    <row r="161" ht="21" customHeight="true" spans="1:17">
      <c r="A161" s="97" t="str">
        <f t="shared" si="3"/>
        <v>      市人民医院事业支出经费</v>
      </c>
      <c r="B161" s="98" t="s">
        <v>1631</v>
      </c>
      <c r="C161" s="98" t="str">
        <f>"C18040000"&amp;"  "&amp;"保险服务"</f>
        <v>C18040000  保险服务</v>
      </c>
      <c r="D161" s="125" t="s">
        <v>1505</v>
      </c>
      <c r="E161" s="130">
        <v>1</v>
      </c>
      <c r="F161" s="30"/>
      <c r="G161" s="48">
        <v>1350000</v>
      </c>
      <c r="H161" s="48"/>
      <c r="I161" s="48"/>
      <c r="J161" s="48"/>
      <c r="K161" s="48"/>
      <c r="L161" s="48">
        <v>1350000</v>
      </c>
      <c r="M161" s="48">
        <v>1350000</v>
      </c>
      <c r="N161" s="48"/>
      <c r="O161" s="48"/>
      <c r="P161" s="48"/>
      <c r="Q161" s="48"/>
    </row>
    <row r="162" ht="21" customHeight="true" spans="1:17">
      <c r="A162" s="97" t="str">
        <f t="shared" si="3"/>
        <v>      市人民医院事业支出经费</v>
      </c>
      <c r="B162" s="98" t="s">
        <v>1632</v>
      </c>
      <c r="C162" s="98" t="str">
        <f>"C17000000"&amp;"  "&amp;"电信和其他信息传输服务"</f>
        <v>C17000000  电信和其他信息传输服务</v>
      </c>
      <c r="D162" s="125" t="s">
        <v>1036</v>
      </c>
      <c r="E162" s="130">
        <v>1</v>
      </c>
      <c r="F162" s="30"/>
      <c r="G162" s="48">
        <v>3600</v>
      </c>
      <c r="H162" s="48"/>
      <c r="I162" s="48"/>
      <c r="J162" s="48"/>
      <c r="K162" s="48"/>
      <c r="L162" s="48">
        <v>3600</v>
      </c>
      <c r="M162" s="48">
        <v>3600</v>
      </c>
      <c r="N162" s="48"/>
      <c r="O162" s="48"/>
      <c r="P162" s="48"/>
      <c r="Q162" s="48"/>
    </row>
    <row r="163" ht="21" customHeight="true" spans="1:17">
      <c r="A163" s="97" t="str">
        <f t="shared" si="3"/>
        <v>      市人民医院事业支出经费</v>
      </c>
      <c r="B163" s="98" t="s">
        <v>1633</v>
      </c>
      <c r="C163" s="98" t="str">
        <f>"A02000000"&amp;"  "&amp;"设备"</f>
        <v>A02000000  设备</v>
      </c>
      <c r="D163" s="125" t="s">
        <v>1185</v>
      </c>
      <c r="E163" s="130">
        <v>1</v>
      </c>
      <c r="F163" s="30"/>
      <c r="G163" s="48">
        <v>900000</v>
      </c>
      <c r="H163" s="48"/>
      <c r="I163" s="48"/>
      <c r="J163" s="48"/>
      <c r="K163" s="48"/>
      <c r="L163" s="48">
        <v>900000</v>
      </c>
      <c r="M163" s="48">
        <v>900000</v>
      </c>
      <c r="N163" s="48"/>
      <c r="O163" s="48"/>
      <c r="P163" s="48"/>
      <c r="Q163" s="48"/>
    </row>
    <row r="164" ht="21" customHeight="true" spans="1:17">
      <c r="A164" s="97" t="str">
        <f t="shared" si="3"/>
        <v>      市人民医院事业支出经费</v>
      </c>
      <c r="B164" s="98" t="s">
        <v>1634</v>
      </c>
      <c r="C164" s="98" t="str">
        <f>"C21040000"&amp;"  "&amp;"物业管理服务"</f>
        <v>C21040000  物业管理服务</v>
      </c>
      <c r="D164" s="125" t="s">
        <v>1036</v>
      </c>
      <c r="E164" s="130">
        <v>1</v>
      </c>
      <c r="F164" s="30"/>
      <c r="G164" s="48">
        <v>175960</v>
      </c>
      <c r="H164" s="48"/>
      <c r="I164" s="48"/>
      <c r="J164" s="48"/>
      <c r="K164" s="48"/>
      <c r="L164" s="48">
        <v>175960</v>
      </c>
      <c r="M164" s="48">
        <v>175960</v>
      </c>
      <c r="N164" s="48"/>
      <c r="O164" s="48"/>
      <c r="P164" s="48"/>
      <c r="Q164" s="48"/>
    </row>
    <row r="165" ht="21" customHeight="true" spans="1:17">
      <c r="A165" s="97" t="str">
        <f t="shared" si="3"/>
        <v>      市人民医院事业支出经费</v>
      </c>
      <c r="B165" s="98" t="s">
        <v>1635</v>
      </c>
      <c r="C165" s="98" t="str">
        <f>"C17000000"&amp;"  "&amp;"电信和其他信息传输服务"</f>
        <v>C17000000  电信和其他信息传输服务</v>
      </c>
      <c r="D165" s="125" t="s">
        <v>1036</v>
      </c>
      <c r="E165" s="130">
        <v>1</v>
      </c>
      <c r="F165" s="30"/>
      <c r="G165" s="48">
        <v>4800</v>
      </c>
      <c r="H165" s="48"/>
      <c r="I165" s="48"/>
      <c r="J165" s="48"/>
      <c r="K165" s="48"/>
      <c r="L165" s="48">
        <v>4800</v>
      </c>
      <c r="M165" s="48">
        <v>4800</v>
      </c>
      <c r="N165" s="48"/>
      <c r="O165" s="48"/>
      <c r="P165" s="48"/>
      <c r="Q165" s="48"/>
    </row>
    <row r="166" ht="21" customHeight="true" spans="1:17">
      <c r="A166" s="97" t="str">
        <f t="shared" si="3"/>
        <v>      市人民医院事业支出经费</v>
      </c>
      <c r="B166" s="98" t="s">
        <v>1636</v>
      </c>
      <c r="C166" s="98" t="str">
        <f>"C23120000"&amp;"  "&amp;"维修和保养服务"</f>
        <v>C23120000  维修和保养服务</v>
      </c>
      <c r="D166" s="125" t="s">
        <v>1036</v>
      </c>
      <c r="E166" s="130">
        <v>1</v>
      </c>
      <c r="F166" s="30"/>
      <c r="G166" s="48">
        <v>14160</v>
      </c>
      <c r="H166" s="48"/>
      <c r="I166" s="48"/>
      <c r="J166" s="48"/>
      <c r="K166" s="48"/>
      <c r="L166" s="48">
        <v>14160</v>
      </c>
      <c r="M166" s="48">
        <v>14160</v>
      </c>
      <c r="N166" s="48"/>
      <c r="O166" s="48"/>
      <c r="P166" s="48"/>
      <c r="Q166" s="48"/>
    </row>
    <row r="167" ht="21" customHeight="true" spans="1:17">
      <c r="A167" s="97" t="str">
        <f t="shared" si="3"/>
        <v>      市人民医院事业支出经费</v>
      </c>
      <c r="B167" s="98" t="s">
        <v>1637</v>
      </c>
      <c r="C167" s="98" t="str">
        <f>"C23120000"&amp;"  "&amp;"维修和保养服务"</f>
        <v>C23120000  维修和保养服务</v>
      </c>
      <c r="D167" s="125" t="s">
        <v>1036</v>
      </c>
      <c r="E167" s="130">
        <v>1</v>
      </c>
      <c r="F167" s="30"/>
      <c r="G167" s="48">
        <v>170000</v>
      </c>
      <c r="H167" s="48"/>
      <c r="I167" s="48"/>
      <c r="J167" s="48"/>
      <c r="K167" s="48"/>
      <c r="L167" s="48">
        <v>170000</v>
      </c>
      <c r="M167" s="48">
        <v>170000</v>
      </c>
      <c r="N167" s="48"/>
      <c r="O167" s="48"/>
      <c r="P167" s="48"/>
      <c r="Q167" s="48"/>
    </row>
    <row r="168" ht="21" customHeight="true" spans="1:17">
      <c r="A168" s="97" t="str">
        <f t="shared" si="3"/>
        <v>      市人民医院事业支出经费</v>
      </c>
      <c r="B168" s="98" t="s">
        <v>1638</v>
      </c>
      <c r="C168" s="98" t="str">
        <f>"C16070000"&amp;"  "&amp;"运行维护服务"</f>
        <v>C16070000  运行维护服务</v>
      </c>
      <c r="D168" s="125" t="s">
        <v>1537</v>
      </c>
      <c r="E168" s="130">
        <v>1</v>
      </c>
      <c r="F168" s="30"/>
      <c r="G168" s="48">
        <v>2522434</v>
      </c>
      <c r="H168" s="48"/>
      <c r="I168" s="48"/>
      <c r="J168" s="48"/>
      <c r="K168" s="48"/>
      <c r="L168" s="48">
        <v>2522434</v>
      </c>
      <c r="M168" s="48">
        <v>2522434</v>
      </c>
      <c r="N168" s="48"/>
      <c r="O168" s="48"/>
      <c r="P168" s="48"/>
      <c r="Q168" s="48"/>
    </row>
    <row r="169" ht="21" customHeight="true" spans="1:17">
      <c r="A169" s="97" t="str">
        <f t="shared" si="3"/>
        <v>      市人民医院事业支出经费</v>
      </c>
      <c r="B169" s="98" t="s">
        <v>1639</v>
      </c>
      <c r="C169" s="98" t="str">
        <f>"C06020000"&amp;"  "&amp;"广播、电视、电影和音像服务"</f>
        <v>C06020000  广播、电视、电影和音像服务</v>
      </c>
      <c r="D169" s="125" t="s">
        <v>1036</v>
      </c>
      <c r="E169" s="130">
        <v>1</v>
      </c>
      <c r="F169" s="30"/>
      <c r="G169" s="48">
        <v>36000</v>
      </c>
      <c r="H169" s="48"/>
      <c r="I169" s="48"/>
      <c r="J169" s="48"/>
      <c r="K169" s="48"/>
      <c r="L169" s="48">
        <v>36000</v>
      </c>
      <c r="M169" s="48">
        <v>36000</v>
      </c>
      <c r="N169" s="48"/>
      <c r="O169" s="48"/>
      <c r="P169" s="48"/>
      <c r="Q169" s="48"/>
    </row>
    <row r="170" ht="21" customHeight="true" spans="1:17">
      <c r="A170" s="97" t="str">
        <f t="shared" si="3"/>
        <v>      市人民医院事业支出经费</v>
      </c>
      <c r="B170" s="98" t="s">
        <v>1640</v>
      </c>
      <c r="C170" s="98" t="str">
        <f>"C99000000"&amp;"  "&amp;"其他服务"</f>
        <v>C99000000  其他服务</v>
      </c>
      <c r="D170" s="125" t="s">
        <v>1036</v>
      </c>
      <c r="E170" s="130">
        <v>1</v>
      </c>
      <c r="F170" s="30"/>
      <c r="G170" s="48">
        <v>2400000</v>
      </c>
      <c r="H170" s="48"/>
      <c r="I170" s="48"/>
      <c r="J170" s="48"/>
      <c r="K170" s="48"/>
      <c r="L170" s="48">
        <v>2400000</v>
      </c>
      <c r="M170" s="48">
        <v>2400000</v>
      </c>
      <c r="N170" s="48"/>
      <c r="O170" s="48"/>
      <c r="P170" s="48"/>
      <c r="Q170" s="48"/>
    </row>
    <row r="171" ht="21" customHeight="true" spans="1:17">
      <c r="A171" s="124" t="s">
        <v>77</v>
      </c>
      <c r="B171" s="18"/>
      <c r="C171" s="18"/>
      <c r="D171" s="18"/>
      <c r="E171" s="18"/>
      <c r="F171" s="129">
        <v>31464200</v>
      </c>
      <c r="G171" s="48">
        <v>73164200</v>
      </c>
      <c r="H171" s="48"/>
      <c r="I171" s="48"/>
      <c r="J171" s="48"/>
      <c r="K171" s="48"/>
      <c r="L171" s="48">
        <v>73164200</v>
      </c>
      <c r="M171" s="48">
        <v>73164200</v>
      </c>
      <c r="N171" s="48"/>
      <c r="O171" s="48"/>
      <c r="P171" s="48"/>
      <c r="Q171" s="48"/>
    </row>
    <row r="172" ht="21" customHeight="true" spans="1:17">
      <c r="A172" s="97" t="str">
        <f t="shared" ref="A172:A187" si="4">"      "&amp;"玉溪市中医医院事业支出经费"</f>
        <v>      玉溪市中医医院事业支出经费</v>
      </c>
      <c r="B172" s="98" t="s">
        <v>1641</v>
      </c>
      <c r="C172" s="98" t="str">
        <f>"C23120300"&amp;"  "&amp;"车辆维修和保养服务"</f>
        <v>C23120300  车辆维修和保养服务</v>
      </c>
      <c r="D172" s="125" t="s">
        <v>1505</v>
      </c>
      <c r="E172" s="130">
        <v>1</v>
      </c>
      <c r="F172" s="30">
        <v>30000</v>
      </c>
      <c r="G172" s="48">
        <v>30000</v>
      </c>
      <c r="H172" s="48"/>
      <c r="I172" s="48"/>
      <c r="J172" s="48"/>
      <c r="K172" s="48"/>
      <c r="L172" s="48">
        <v>30000</v>
      </c>
      <c r="M172" s="48">
        <v>30000</v>
      </c>
      <c r="N172" s="48"/>
      <c r="O172" s="48"/>
      <c r="P172" s="48"/>
      <c r="Q172" s="48"/>
    </row>
    <row r="173" ht="21" customHeight="true" spans="1:17">
      <c r="A173" s="97" t="str">
        <f t="shared" si="4"/>
        <v>      玉溪市中医医院事业支出经费</v>
      </c>
      <c r="B173" s="98" t="s">
        <v>1642</v>
      </c>
      <c r="C173" s="98" t="str">
        <f>"A05010000"&amp;"  "&amp;"家具"</f>
        <v>A05010000  家具</v>
      </c>
      <c r="D173" s="125" t="s">
        <v>1505</v>
      </c>
      <c r="E173" s="130">
        <v>1</v>
      </c>
      <c r="F173" s="30">
        <v>800000</v>
      </c>
      <c r="G173" s="48">
        <v>800000</v>
      </c>
      <c r="H173" s="48"/>
      <c r="I173" s="48"/>
      <c r="J173" s="48"/>
      <c r="K173" s="48"/>
      <c r="L173" s="48">
        <v>800000</v>
      </c>
      <c r="M173" s="48">
        <v>800000</v>
      </c>
      <c r="N173" s="48"/>
      <c r="O173" s="48"/>
      <c r="P173" s="48"/>
      <c r="Q173" s="48"/>
    </row>
    <row r="174" ht="21" customHeight="true" spans="1:17">
      <c r="A174" s="97" t="str">
        <f t="shared" si="4"/>
        <v>      玉溪市中医医院事业支出经费</v>
      </c>
      <c r="B174" s="98" t="s">
        <v>1643</v>
      </c>
      <c r="C174" s="98" t="str">
        <f>"A02000000"&amp;"  "&amp;"设备"</f>
        <v>A02000000  设备</v>
      </c>
      <c r="D174" s="125" t="s">
        <v>1505</v>
      </c>
      <c r="E174" s="130">
        <v>1</v>
      </c>
      <c r="F174" s="30">
        <v>1114200</v>
      </c>
      <c r="G174" s="48">
        <v>1114200</v>
      </c>
      <c r="H174" s="48"/>
      <c r="I174" s="48"/>
      <c r="J174" s="48"/>
      <c r="K174" s="48"/>
      <c r="L174" s="48">
        <v>1114200</v>
      </c>
      <c r="M174" s="48">
        <v>1114200</v>
      </c>
      <c r="N174" s="48"/>
      <c r="O174" s="48"/>
      <c r="P174" s="48"/>
      <c r="Q174" s="48"/>
    </row>
    <row r="175" ht="21" customHeight="true" spans="1:17">
      <c r="A175" s="97" t="str">
        <f t="shared" si="4"/>
        <v>      玉溪市中医医院事业支出经费</v>
      </c>
      <c r="B175" s="98" t="s">
        <v>1644</v>
      </c>
      <c r="C175" s="98" t="str">
        <f>"C23120000"&amp;"  "&amp;"维修和保养服务"</f>
        <v>C23120000  维修和保养服务</v>
      </c>
      <c r="D175" s="125" t="s">
        <v>1505</v>
      </c>
      <c r="E175" s="130">
        <v>1</v>
      </c>
      <c r="F175" s="30"/>
      <c r="G175" s="48">
        <v>5500000</v>
      </c>
      <c r="H175" s="48"/>
      <c r="I175" s="48"/>
      <c r="J175" s="48"/>
      <c r="K175" s="48"/>
      <c r="L175" s="48">
        <v>5500000</v>
      </c>
      <c r="M175" s="48">
        <v>5500000</v>
      </c>
      <c r="N175" s="48"/>
      <c r="O175" s="48"/>
      <c r="P175" s="48"/>
      <c r="Q175" s="48"/>
    </row>
    <row r="176" ht="21" customHeight="true" spans="1:17">
      <c r="A176" s="97" t="str">
        <f t="shared" si="4"/>
        <v>      玉溪市中医医院事业支出经费</v>
      </c>
      <c r="B176" s="98" t="s">
        <v>1645</v>
      </c>
      <c r="C176" s="98" t="str">
        <f>"A02061800"&amp;"  "&amp;"生活用电器"</f>
        <v>A02061800  生活用电器</v>
      </c>
      <c r="D176" s="125" t="s">
        <v>1505</v>
      </c>
      <c r="E176" s="130">
        <v>1</v>
      </c>
      <c r="F176" s="30"/>
      <c r="G176" s="48">
        <v>9700000</v>
      </c>
      <c r="H176" s="48"/>
      <c r="I176" s="48"/>
      <c r="J176" s="48"/>
      <c r="K176" s="48"/>
      <c r="L176" s="48">
        <v>9700000</v>
      </c>
      <c r="M176" s="48">
        <v>9700000</v>
      </c>
      <c r="N176" s="48"/>
      <c r="O176" s="48"/>
      <c r="P176" s="48"/>
      <c r="Q176" s="48"/>
    </row>
    <row r="177" ht="21" customHeight="true" spans="1:17">
      <c r="A177" s="97" t="str">
        <f t="shared" si="4"/>
        <v>      玉溪市中医医院事业支出经费</v>
      </c>
      <c r="B177" s="98" t="s">
        <v>1646</v>
      </c>
      <c r="C177" s="98" t="str">
        <f>"A08000000"&amp;"  "&amp;"无形资产"</f>
        <v>A08000000  无形资产</v>
      </c>
      <c r="D177" s="125" t="s">
        <v>1505</v>
      </c>
      <c r="E177" s="130">
        <v>1</v>
      </c>
      <c r="F177" s="30">
        <v>600000</v>
      </c>
      <c r="G177" s="48">
        <v>600000</v>
      </c>
      <c r="H177" s="48"/>
      <c r="I177" s="48"/>
      <c r="J177" s="48"/>
      <c r="K177" s="48"/>
      <c r="L177" s="48">
        <v>600000</v>
      </c>
      <c r="M177" s="48">
        <v>600000</v>
      </c>
      <c r="N177" s="48"/>
      <c r="O177" s="48"/>
      <c r="P177" s="48"/>
      <c r="Q177" s="48"/>
    </row>
    <row r="178" ht="21" customHeight="true" spans="1:17">
      <c r="A178" s="97" t="str">
        <f t="shared" si="4"/>
        <v>      玉溪市中医医院事业支出经费</v>
      </c>
      <c r="B178" s="98" t="s">
        <v>1647</v>
      </c>
      <c r="C178" s="98" t="str">
        <f>"C18040100"&amp;"  "&amp;"商业保险服务"</f>
        <v>C18040100  商业保险服务</v>
      </c>
      <c r="D178" s="125" t="s">
        <v>1505</v>
      </c>
      <c r="E178" s="130">
        <v>1</v>
      </c>
      <c r="F178" s="30">
        <v>30000</v>
      </c>
      <c r="G178" s="48">
        <v>30000</v>
      </c>
      <c r="H178" s="48"/>
      <c r="I178" s="48"/>
      <c r="J178" s="48"/>
      <c r="K178" s="48"/>
      <c r="L178" s="48">
        <v>30000</v>
      </c>
      <c r="M178" s="48">
        <v>30000</v>
      </c>
      <c r="N178" s="48"/>
      <c r="O178" s="48"/>
      <c r="P178" s="48"/>
      <c r="Q178" s="48"/>
    </row>
    <row r="179" ht="21" customHeight="true" spans="1:17">
      <c r="A179" s="97" t="str">
        <f t="shared" si="4"/>
        <v>      玉溪市中医医院事业支出经费</v>
      </c>
      <c r="B179" s="98" t="s">
        <v>1648</v>
      </c>
      <c r="C179" s="98" t="str">
        <f>"A02000000"&amp;"  "&amp;"设备"</f>
        <v>A02000000  设备</v>
      </c>
      <c r="D179" s="125" t="s">
        <v>1505</v>
      </c>
      <c r="E179" s="130">
        <v>1</v>
      </c>
      <c r="F179" s="30">
        <v>5000000</v>
      </c>
      <c r="G179" s="48">
        <v>5000000</v>
      </c>
      <c r="H179" s="48"/>
      <c r="I179" s="48"/>
      <c r="J179" s="48"/>
      <c r="K179" s="48"/>
      <c r="L179" s="48">
        <v>5000000</v>
      </c>
      <c r="M179" s="48">
        <v>5000000</v>
      </c>
      <c r="N179" s="48"/>
      <c r="O179" s="48"/>
      <c r="P179" s="48"/>
      <c r="Q179" s="48"/>
    </row>
    <row r="180" ht="21" customHeight="true" spans="1:17">
      <c r="A180" s="97" t="str">
        <f t="shared" si="4"/>
        <v>      玉溪市中医医院事业支出经费</v>
      </c>
      <c r="B180" s="98" t="s">
        <v>1649</v>
      </c>
      <c r="C180" s="98" t="str">
        <f>"C23120300"&amp;"  "&amp;"车辆维修和保养服务"</f>
        <v>C23120300  车辆维修和保养服务</v>
      </c>
      <c r="D180" s="125" t="s">
        <v>1505</v>
      </c>
      <c r="E180" s="130">
        <v>1</v>
      </c>
      <c r="F180" s="30">
        <v>90000</v>
      </c>
      <c r="G180" s="48">
        <v>90000</v>
      </c>
      <c r="H180" s="48"/>
      <c r="I180" s="48"/>
      <c r="J180" s="48"/>
      <c r="K180" s="48"/>
      <c r="L180" s="48">
        <v>90000</v>
      </c>
      <c r="M180" s="48">
        <v>90000</v>
      </c>
      <c r="N180" s="48"/>
      <c r="O180" s="48"/>
      <c r="P180" s="48"/>
      <c r="Q180" s="48"/>
    </row>
    <row r="181" ht="21" customHeight="true" spans="1:17">
      <c r="A181" s="97" t="str">
        <f t="shared" si="4"/>
        <v>      玉溪市中医医院事业支出经费</v>
      </c>
      <c r="B181" s="98" t="s">
        <v>1650</v>
      </c>
      <c r="C181" s="98" t="str">
        <f>"B01000000"&amp;"  "&amp;"房屋施工"</f>
        <v>B01000000  房屋施工</v>
      </c>
      <c r="D181" s="125" t="s">
        <v>1505</v>
      </c>
      <c r="E181" s="130">
        <v>1</v>
      </c>
      <c r="F181" s="30">
        <v>15000000</v>
      </c>
      <c r="G181" s="48">
        <v>15000000</v>
      </c>
      <c r="H181" s="48"/>
      <c r="I181" s="48"/>
      <c r="J181" s="48"/>
      <c r="K181" s="48"/>
      <c r="L181" s="48">
        <v>15000000</v>
      </c>
      <c r="M181" s="48">
        <v>15000000</v>
      </c>
      <c r="N181" s="48"/>
      <c r="O181" s="48"/>
      <c r="P181" s="48"/>
      <c r="Q181" s="48"/>
    </row>
    <row r="182" ht="21" customHeight="true" spans="1:17">
      <c r="A182" s="97" t="str">
        <f t="shared" si="4"/>
        <v>      玉溪市中医医院事业支出经费</v>
      </c>
      <c r="B182" s="98" t="s">
        <v>1651</v>
      </c>
      <c r="C182" s="98" t="str">
        <f>"C23090100"&amp;"  "&amp;"印刷服务"</f>
        <v>C23090100  印刷服务</v>
      </c>
      <c r="D182" s="125" t="s">
        <v>1505</v>
      </c>
      <c r="E182" s="130">
        <v>1</v>
      </c>
      <c r="F182" s="30">
        <v>400000</v>
      </c>
      <c r="G182" s="48">
        <v>400000</v>
      </c>
      <c r="H182" s="48"/>
      <c r="I182" s="48"/>
      <c r="J182" s="48"/>
      <c r="K182" s="48"/>
      <c r="L182" s="48">
        <v>400000</v>
      </c>
      <c r="M182" s="48">
        <v>400000</v>
      </c>
      <c r="N182" s="48"/>
      <c r="O182" s="48"/>
      <c r="P182" s="48"/>
      <c r="Q182" s="48"/>
    </row>
    <row r="183" ht="21" customHeight="true" spans="1:17">
      <c r="A183" s="97" t="str">
        <f t="shared" si="4"/>
        <v>      玉溪市中医医院事业支出经费</v>
      </c>
      <c r="B183" s="98" t="s">
        <v>1650</v>
      </c>
      <c r="C183" s="98" t="str">
        <f>"B01000000"&amp;"  "&amp;"房屋施工"</f>
        <v>B01000000  房屋施工</v>
      </c>
      <c r="D183" s="125" t="s">
        <v>1505</v>
      </c>
      <c r="E183" s="130">
        <v>1</v>
      </c>
      <c r="F183" s="30">
        <v>8000000</v>
      </c>
      <c r="G183" s="48">
        <v>8000000</v>
      </c>
      <c r="H183" s="48"/>
      <c r="I183" s="48"/>
      <c r="J183" s="48"/>
      <c r="K183" s="48"/>
      <c r="L183" s="48">
        <v>8000000</v>
      </c>
      <c r="M183" s="48">
        <v>8000000</v>
      </c>
      <c r="N183" s="48"/>
      <c r="O183" s="48"/>
      <c r="P183" s="48"/>
      <c r="Q183" s="48"/>
    </row>
    <row r="184" ht="21" customHeight="true" spans="1:17">
      <c r="A184" s="97" t="str">
        <f t="shared" si="4"/>
        <v>      玉溪市中医医院事业支出经费</v>
      </c>
      <c r="B184" s="98" t="s">
        <v>1652</v>
      </c>
      <c r="C184" s="98" t="str">
        <f>"A02061804"&amp;"  "&amp;"空调机"</f>
        <v>A02061804  空调机</v>
      </c>
      <c r="D184" s="125" t="s">
        <v>1505</v>
      </c>
      <c r="E184" s="130">
        <v>1</v>
      </c>
      <c r="F184" s="30">
        <v>100000</v>
      </c>
      <c r="G184" s="48">
        <v>100000</v>
      </c>
      <c r="H184" s="48"/>
      <c r="I184" s="48"/>
      <c r="J184" s="48"/>
      <c r="K184" s="48"/>
      <c r="L184" s="48">
        <v>100000</v>
      </c>
      <c r="M184" s="48">
        <v>100000</v>
      </c>
      <c r="N184" s="48"/>
      <c r="O184" s="48"/>
      <c r="P184" s="48"/>
      <c r="Q184" s="48"/>
    </row>
    <row r="185" ht="21" customHeight="true" spans="1:17">
      <c r="A185" s="97" t="str">
        <f t="shared" si="4"/>
        <v>      玉溪市中医医院事业支出经费</v>
      </c>
      <c r="B185" s="98" t="s">
        <v>1653</v>
      </c>
      <c r="C185" s="98" t="str">
        <f>"A05040101"&amp;"  "&amp;"复印纸"</f>
        <v>A05040101  复印纸</v>
      </c>
      <c r="D185" s="125" t="s">
        <v>1505</v>
      </c>
      <c r="E185" s="130">
        <v>1</v>
      </c>
      <c r="F185" s="30">
        <v>300000</v>
      </c>
      <c r="G185" s="48">
        <v>300000</v>
      </c>
      <c r="H185" s="48"/>
      <c r="I185" s="48"/>
      <c r="J185" s="48"/>
      <c r="K185" s="48"/>
      <c r="L185" s="48">
        <v>300000</v>
      </c>
      <c r="M185" s="48">
        <v>300000</v>
      </c>
      <c r="N185" s="48"/>
      <c r="O185" s="48"/>
      <c r="P185" s="48"/>
      <c r="Q185" s="48"/>
    </row>
    <row r="186" ht="21" customHeight="true" spans="1:17">
      <c r="A186" s="97" t="str">
        <f t="shared" si="4"/>
        <v>      玉溪市中医医院事业支出经费</v>
      </c>
      <c r="B186" s="98" t="s">
        <v>1654</v>
      </c>
      <c r="C186" s="98" t="str">
        <f>"A02320000"&amp;"  "&amp;"医疗设备"</f>
        <v>A02320000  医疗设备</v>
      </c>
      <c r="D186" s="125" t="s">
        <v>1505</v>
      </c>
      <c r="E186" s="130">
        <v>1</v>
      </c>
      <c r="F186" s="30"/>
      <c r="G186" s="48">
        <v>20300000</v>
      </c>
      <c r="H186" s="48"/>
      <c r="I186" s="48"/>
      <c r="J186" s="48"/>
      <c r="K186" s="48"/>
      <c r="L186" s="48">
        <v>20300000</v>
      </c>
      <c r="M186" s="48">
        <v>20300000</v>
      </c>
      <c r="N186" s="48"/>
      <c r="O186" s="48"/>
      <c r="P186" s="48"/>
      <c r="Q186" s="48"/>
    </row>
    <row r="187" ht="21" customHeight="true" spans="1:17">
      <c r="A187" s="97" t="str">
        <f t="shared" si="4"/>
        <v>      玉溪市中医医院事业支出经费</v>
      </c>
      <c r="B187" s="98" t="s">
        <v>1655</v>
      </c>
      <c r="C187" s="98" t="str">
        <f>"A02310000"&amp;"  "&amp;"化学药品和中药设备"</f>
        <v>A02310000  化学药品和中药设备</v>
      </c>
      <c r="D187" s="125" t="s">
        <v>1505</v>
      </c>
      <c r="E187" s="130">
        <v>1</v>
      </c>
      <c r="F187" s="30"/>
      <c r="G187" s="48">
        <v>6200000</v>
      </c>
      <c r="H187" s="48"/>
      <c r="I187" s="48"/>
      <c r="J187" s="48"/>
      <c r="K187" s="48"/>
      <c r="L187" s="48">
        <v>6200000</v>
      </c>
      <c r="M187" s="48">
        <v>6200000</v>
      </c>
      <c r="N187" s="48"/>
      <c r="O187" s="48"/>
      <c r="P187" s="48"/>
      <c r="Q187" s="48"/>
    </row>
    <row r="188" ht="21" customHeight="true" spans="1:17">
      <c r="A188" s="124" t="s">
        <v>79</v>
      </c>
      <c r="B188" s="18"/>
      <c r="C188" s="18"/>
      <c r="D188" s="18"/>
      <c r="E188" s="18"/>
      <c r="F188" s="129">
        <v>2973700</v>
      </c>
      <c r="G188" s="48">
        <v>2973700</v>
      </c>
      <c r="H188" s="48"/>
      <c r="I188" s="48"/>
      <c r="J188" s="48"/>
      <c r="K188" s="48"/>
      <c r="L188" s="48">
        <v>2973700</v>
      </c>
      <c r="M188" s="48">
        <v>2973700</v>
      </c>
      <c r="N188" s="48"/>
      <c r="O188" s="48"/>
      <c r="P188" s="48"/>
      <c r="Q188" s="48"/>
    </row>
    <row r="189" ht="21" customHeight="true" spans="1:17">
      <c r="A189" s="97" t="str">
        <f t="shared" ref="A189:A228" si="5">"      "&amp;"玉溪市第二人民医院业务收入经费"</f>
        <v>      玉溪市第二人民医院业务收入经费</v>
      </c>
      <c r="B189" s="98" t="s">
        <v>1588</v>
      </c>
      <c r="C189" s="98" t="str">
        <f>"A02021301"&amp;"  "&amp;"碎纸机"</f>
        <v>A02021301  碎纸机</v>
      </c>
      <c r="D189" s="125" t="s">
        <v>1508</v>
      </c>
      <c r="E189" s="130">
        <v>5</v>
      </c>
      <c r="F189" s="30">
        <v>6000</v>
      </c>
      <c r="G189" s="48">
        <v>6000</v>
      </c>
      <c r="H189" s="48"/>
      <c r="I189" s="48"/>
      <c r="J189" s="48"/>
      <c r="K189" s="48"/>
      <c r="L189" s="48">
        <v>6000</v>
      </c>
      <c r="M189" s="48">
        <v>6000</v>
      </c>
      <c r="N189" s="48"/>
      <c r="O189" s="48"/>
      <c r="P189" s="48"/>
      <c r="Q189" s="48"/>
    </row>
    <row r="190" ht="21" customHeight="true" spans="1:17">
      <c r="A190" s="97" t="str">
        <f t="shared" si="5"/>
        <v>      玉溪市第二人民医院业务收入经费</v>
      </c>
      <c r="B190" s="98" t="s">
        <v>1552</v>
      </c>
      <c r="C190" s="98" t="str">
        <f>"A05010301"&amp;"  "&amp;"办公椅"</f>
        <v>A05010301  办公椅</v>
      </c>
      <c r="D190" s="125" t="s">
        <v>1530</v>
      </c>
      <c r="E190" s="130">
        <v>8</v>
      </c>
      <c r="F190" s="30">
        <v>6000</v>
      </c>
      <c r="G190" s="48">
        <v>6000</v>
      </c>
      <c r="H190" s="48"/>
      <c r="I190" s="48"/>
      <c r="J190" s="48"/>
      <c r="K190" s="48"/>
      <c r="L190" s="48">
        <v>6000</v>
      </c>
      <c r="M190" s="48">
        <v>6000</v>
      </c>
      <c r="N190" s="48"/>
      <c r="O190" s="48"/>
      <c r="P190" s="48"/>
      <c r="Q190" s="48"/>
    </row>
    <row r="191" ht="21" customHeight="true" spans="1:17">
      <c r="A191" s="97" t="str">
        <f t="shared" si="5"/>
        <v>      玉溪市第二人民医院业务收入经费</v>
      </c>
      <c r="B191" s="98" t="s">
        <v>1656</v>
      </c>
      <c r="C191" s="98" t="str">
        <f>"A02329900"&amp;"  "&amp;"其他医疗设备"</f>
        <v>A02329900  其他医疗设备</v>
      </c>
      <c r="D191" s="125" t="s">
        <v>1508</v>
      </c>
      <c r="E191" s="130">
        <v>1</v>
      </c>
      <c r="F191" s="30">
        <v>15000</v>
      </c>
      <c r="G191" s="48">
        <v>15000</v>
      </c>
      <c r="H191" s="48"/>
      <c r="I191" s="48"/>
      <c r="J191" s="48"/>
      <c r="K191" s="48"/>
      <c r="L191" s="48">
        <v>15000</v>
      </c>
      <c r="M191" s="48">
        <v>15000</v>
      </c>
      <c r="N191" s="48"/>
      <c r="O191" s="48"/>
      <c r="P191" s="48"/>
      <c r="Q191" s="48"/>
    </row>
    <row r="192" ht="21" customHeight="true" spans="1:17">
      <c r="A192" s="97" t="str">
        <f t="shared" si="5"/>
        <v>      玉溪市第二人民医院业务收入经费</v>
      </c>
      <c r="B192" s="98" t="s">
        <v>1657</v>
      </c>
      <c r="C192" s="98" t="str">
        <f>"A02322400"&amp;"  "&amp;"手术室设备及附件"</f>
        <v>A02322400  手术室设备及附件</v>
      </c>
      <c r="D192" s="125" t="s">
        <v>1508</v>
      </c>
      <c r="E192" s="130">
        <v>1</v>
      </c>
      <c r="F192" s="30">
        <v>1700</v>
      </c>
      <c r="G192" s="48">
        <v>1700</v>
      </c>
      <c r="H192" s="48"/>
      <c r="I192" s="48"/>
      <c r="J192" s="48"/>
      <c r="K192" s="48"/>
      <c r="L192" s="48">
        <v>1700</v>
      </c>
      <c r="M192" s="48">
        <v>1700</v>
      </c>
      <c r="N192" s="48"/>
      <c r="O192" s="48"/>
      <c r="P192" s="48"/>
      <c r="Q192" s="48"/>
    </row>
    <row r="193" ht="21" customHeight="true" spans="1:17">
      <c r="A193" s="97" t="str">
        <f t="shared" si="5"/>
        <v>      玉溪市第二人民医院业务收入经费</v>
      </c>
      <c r="B193" s="98" t="s">
        <v>1658</v>
      </c>
      <c r="C193" s="98" t="str">
        <f>"A02321900"&amp;"  "&amp;"临床检验设备"</f>
        <v>A02321900  临床检验设备</v>
      </c>
      <c r="D193" s="125" t="s">
        <v>1508</v>
      </c>
      <c r="E193" s="130">
        <v>1</v>
      </c>
      <c r="F193" s="30">
        <v>30000</v>
      </c>
      <c r="G193" s="48">
        <v>30000</v>
      </c>
      <c r="H193" s="48"/>
      <c r="I193" s="48"/>
      <c r="J193" s="48"/>
      <c r="K193" s="48"/>
      <c r="L193" s="48">
        <v>30000</v>
      </c>
      <c r="M193" s="48">
        <v>30000</v>
      </c>
      <c r="N193" s="48"/>
      <c r="O193" s="48"/>
      <c r="P193" s="48"/>
      <c r="Q193" s="48"/>
    </row>
    <row r="194" ht="21" customHeight="true" spans="1:17">
      <c r="A194" s="97" t="str">
        <f t="shared" si="5"/>
        <v>      玉溪市第二人民医院业务收入经费</v>
      </c>
      <c r="B194" s="98" t="s">
        <v>1659</v>
      </c>
      <c r="C194" s="98" t="str">
        <f>"A02329900"&amp;"  "&amp;"其他医疗设备"</f>
        <v>A02329900  其他医疗设备</v>
      </c>
      <c r="D194" s="125" t="s">
        <v>1508</v>
      </c>
      <c r="E194" s="130">
        <v>3</v>
      </c>
      <c r="F194" s="30">
        <v>90000</v>
      </c>
      <c r="G194" s="48">
        <v>90000</v>
      </c>
      <c r="H194" s="48"/>
      <c r="I194" s="48"/>
      <c r="J194" s="48"/>
      <c r="K194" s="48"/>
      <c r="L194" s="48">
        <v>90000</v>
      </c>
      <c r="M194" s="48">
        <v>90000</v>
      </c>
      <c r="N194" s="48"/>
      <c r="O194" s="48"/>
      <c r="P194" s="48"/>
      <c r="Q194" s="48"/>
    </row>
    <row r="195" ht="21" customHeight="true" spans="1:17">
      <c r="A195" s="97" t="str">
        <f t="shared" si="5"/>
        <v>      玉溪市第二人民医院业务收入经费</v>
      </c>
      <c r="B195" s="98" t="s">
        <v>1660</v>
      </c>
      <c r="C195" s="98" t="str">
        <f>"A02021003"&amp;"  "&amp;"A4黑白打印机"</f>
        <v>A02021003  A4黑白打印机</v>
      </c>
      <c r="D195" s="125" t="s">
        <v>1508</v>
      </c>
      <c r="E195" s="130">
        <v>22</v>
      </c>
      <c r="F195" s="30">
        <v>33000</v>
      </c>
      <c r="G195" s="48">
        <v>33000</v>
      </c>
      <c r="H195" s="48"/>
      <c r="I195" s="48"/>
      <c r="J195" s="48"/>
      <c r="K195" s="48"/>
      <c r="L195" s="48">
        <v>33000</v>
      </c>
      <c r="M195" s="48">
        <v>33000</v>
      </c>
      <c r="N195" s="48"/>
      <c r="O195" s="48"/>
      <c r="P195" s="48"/>
      <c r="Q195" s="48"/>
    </row>
    <row r="196" ht="21" customHeight="true" spans="1:17">
      <c r="A196" s="97" t="str">
        <f t="shared" si="5"/>
        <v>      玉溪市第二人民医院业务收入经费</v>
      </c>
      <c r="B196" s="98" t="s">
        <v>1661</v>
      </c>
      <c r="C196" s="98" t="str">
        <f>"A02021099"&amp;"  "&amp;"其他打印机"</f>
        <v>A02021099  其他打印机</v>
      </c>
      <c r="D196" s="125" t="s">
        <v>1508</v>
      </c>
      <c r="E196" s="130">
        <v>3</v>
      </c>
      <c r="F196" s="30">
        <v>9000</v>
      </c>
      <c r="G196" s="48">
        <v>9000</v>
      </c>
      <c r="H196" s="48"/>
      <c r="I196" s="48"/>
      <c r="J196" s="48"/>
      <c r="K196" s="48"/>
      <c r="L196" s="48">
        <v>9000</v>
      </c>
      <c r="M196" s="48">
        <v>9000</v>
      </c>
      <c r="N196" s="48"/>
      <c r="O196" s="48"/>
      <c r="P196" s="48"/>
      <c r="Q196" s="48"/>
    </row>
    <row r="197" ht="21" customHeight="true" spans="1:17">
      <c r="A197" s="97" t="str">
        <f t="shared" si="5"/>
        <v>      玉溪市第二人民医院业务收入经费</v>
      </c>
      <c r="B197" s="98" t="s">
        <v>1662</v>
      </c>
      <c r="C197" s="98" t="str">
        <f>"A02321900"&amp;"  "&amp;"临床检验设备"</f>
        <v>A02321900  临床检验设备</v>
      </c>
      <c r="D197" s="125" t="s">
        <v>1508</v>
      </c>
      <c r="E197" s="130">
        <v>1</v>
      </c>
      <c r="F197" s="30">
        <v>20000</v>
      </c>
      <c r="G197" s="48">
        <v>20000</v>
      </c>
      <c r="H197" s="48"/>
      <c r="I197" s="48"/>
      <c r="J197" s="48"/>
      <c r="K197" s="48"/>
      <c r="L197" s="48">
        <v>20000</v>
      </c>
      <c r="M197" s="48">
        <v>20000</v>
      </c>
      <c r="N197" s="48"/>
      <c r="O197" s="48"/>
      <c r="P197" s="48"/>
      <c r="Q197" s="48"/>
    </row>
    <row r="198" ht="21" customHeight="true" spans="1:17">
      <c r="A198" s="97" t="str">
        <f t="shared" si="5"/>
        <v>      玉溪市第二人民医院业务收入经费</v>
      </c>
      <c r="B198" s="98" t="s">
        <v>1663</v>
      </c>
      <c r="C198" s="98" t="str">
        <f>"A02021004"&amp;"  "&amp;"A4彩色打印机"</f>
        <v>A02021004  A4彩色打印机</v>
      </c>
      <c r="D198" s="125" t="s">
        <v>1508</v>
      </c>
      <c r="E198" s="130">
        <v>1</v>
      </c>
      <c r="F198" s="30">
        <v>2500</v>
      </c>
      <c r="G198" s="48">
        <v>2500</v>
      </c>
      <c r="H198" s="48"/>
      <c r="I198" s="48"/>
      <c r="J198" s="48"/>
      <c r="K198" s="48"/>
      <c r="L198" s="48">
        <v>2500</v>
      </c>
      <c r="M198" s="48">
        <v>2500</v>
      </c>
      <c r="N198" s="48"/>
      <c r="O198" s="48"/>
      <c r="P198" s="48"/>
      <c r="Q198" s="48"/>
    </row>
    <row r="199" ht="21" customHeight="true" spans="1:17">
      <c r="A199" s="97" t="str">
        <f t="shared" si="5"/>
        <v>      玉溪市第二人民医院业务收入经费</v>
      </c>
      <c r="B199" s="98" t="s">
        <v>1664</v>
      </c>
      <c r="C199" s="98" t="str">
        <f>"A02020300"&amp;"  "&amp;"投影幕"</f>
        <v>A02020300  投影幕</v>
      </c>
      <c r="D199" s="125" t="s">
        <v>1508</v>
      </c>
      <c r="E199" s="130">
        <v>1</v>
      </c>
      <c r="F199" s="30">
        <v>5000</v>
      </c>
      <c r="G199" s="48">
        <v>5000</v>
      </c>
      <c r="H199" s="48"/>
      <c r="I199" s="48"/>
      <c r="J199" s="48"/>
      <c r="K199" s="48"/>
      <c r="L199" s="48">
        <v>5000</v>
      </c>
      <c r="M199" s="48">
        <v>5000</v>
      </c>
      <c r="N199" s="48"/>
      <c r="O199" s="48"/>
      <c r="P199" s="48"/>
      <c r="Q199" s="48"/>
    </row>
    <row r="200" ht="21" customHeight="true" spans="1:17">
      <c r="A200" s="97" t="str">
        <f t="shared" si="5"/>
        <v>      玉溪市第二人民医院业务收入经费</v>
      </c>
      <c r="B200" s="98" t="s">
        <v>1665</v>
      </c>
      <c r="C200" s="98" t="str">
        <f>"A02370400"&amp;"  "&amp;"安全、检查、监视、报警设备"</f>
        <v>A02370400  安全、检查、监视、报警设备</v>
      </c>
      <c r="D200" s="125" t="s">
        <v>1185</v>
      </c>
      <c r="E200" s="130">
        <v>1</v>
      </c>
      <c r="F200" s="30">
        <v>860000</v>
      </c>
      <c r="G200" s="48">
        <v>860000</v>
      </c>
      <c r="H200" s="48"/>
      <c r="I200" s="48"/>
      <c r="J200" s="48"/>
      <c r="K200" s="48"/>
      <c r="L200" s="48">
        <v>860000</v>
      </c>
      <c r="M200" s="48">
        <v>860000</v>
      </c>
      <c r="N200" s="48"/>
      <c r="O200" s="48"/>
      <c r="P200" s="48"/>
      <c r="Q200" s="48"/>
    </row>
    <row r="201" ht="21" customHeight="true" spans="1:17">
      <c r="A201" s="97" t="str">
        <f t="shared" si="5"/>
        <v>      玉溪市第二人民医院业务收入经费</v>
      </c>
      <c r="B201" s="98" t="s">
        <v>1666</v>
      </c>
      <c r="C201" s="98" t="str">
        <f>"A02390100"&amp;"  "&amp;"钞票处理设备"</f>
        <v>A02390100  钞票处理设备</v>
      </c>
      <c r="D201" s="125" t="s">
        <v>1508</v>
      </c>
      <c r="E201" s="130">
        <v>3</v>
      </c>
      <c r="F201" s="30">
        <v>7500</v>
      </c>
      <c r="G201" s="48">
        <v>7500</v>
      </c>
      <c r="H201" s="48"/>
      <c r="I201" s="48"/>
      <c r="J201" s="48"/>
      <c r="K201" s="48"/>
      <c r="L201" s="48">
        <v>7500</v>
      </c>
      <c r="M201" s="48">
        <v>7500</v>
      </c>
      <c r="N201" s="48"/>
      <c r="O201" s="48"/>
      <c r="P201" s="48"/>
      <c r="Q201" s="48"/>
    </row>
    <row r="202" ht="21" customHeight="true" spans="1:17">
      <c r="A202" s="97" t="str">
        <f t="shared" si="5"/>
        <v>      玉溪市第二人民医院业务收入经费</v>
      </c>
      <c r="B202" s="98" t="s">
        <v>1667</v>
      </c>
      <c r="C202" s="98" t="str">
        <f>"A02329900"&amp;"  "&amp;"其他医疗设备"</f>
        <v>A02329900  其他医疗设备</v>
      </c>
      <c r="D202" s="125" t="s">
        <v>1508</v>
      </c>
      <c r="E202" s="130">
        <v>1</v>
      </c>
      <c r="F202" s="30">
        <v>38000</v>
      </c>
      <c r="G202" s="48">
        <v>38000</v>
      </c>
      <c r="H202" s="48"/>
      <c r="I202" s="48"/>
      <c r="J202" s="48"/>
      <c r="K202" s="48"/>
      <c r="L202" s="48">
        <v>38000</v>
      </c>
      <c r="M202" s="48">
        <v>38000</v>
      </c>
      <c r="N202" s="48"/>
      <c r="O202" s="48"/>
      <c r="P202" s="48"/>
      <c r="Q202" s="48"/>
    </row>
    <row r="203" ht="21" customHeight="true" spans="1:17">
      <c r="A203" s="97" t="str">
        <f t="shared" si="5"/>
        <v>      玉溪市第二人民医院业务收入经费</v>
      </c>
      <c r="B203" s="98" t="s">
        <v>1668</v>
      </c>
      <c r="C203" s="98" t="str">
        <f>"A02321900"&amp;"  "&amp;"临床检验设备"</f>
        <v>A02321900  临床检验设备</v>
      </c>
      <c r="D203" s="125" t="s">
        <v>1508</v>
      </c>
      <c r="E203" s="130">
        <v>1</v>
      </c>
      <c r="F203" s="30">
        <v>50000</v>
      </c>
      <c r="G203" s="48">
        <v>50000</v>
      </c>
      <c r="H203" s="48"/>
      <c r="I203" s="48"/>
      <c r="J203" s="48"/>
      <c r="K203" s="48"/>
      <c r="L203" s="48">
        <v>50000</v>
      </c>
      <c r="M203" s="48">
        <v>50000</v>
      </c>
      <c r="N203" s="48"/>
      <c r="O203" s="48"/>
      <c r="P203" s="48"/>
      <c r="Q203" s="48"/>
    </row>
    <row r="204" ht="21" customHeight="true" spans="1:17">
      <c r="A204" s="97" t="str">
        <f t="shared" si="5"/>
        <v>      玉溪市第二人民医院业务收入经费</v>
      </c>
      <c r="B204" s="98" t="s">
        <v>1669</v>
      </c>
      <c r="C204" s="98" t="str">
        <f>"A02322400"&amp;"  "&amp;"手术室设备及附件"</f>
        <v>A02322400  手术室设备及附件</v>
      </c>
      <c r="D204" s="125" t="s">
        <v>1508</v>
      </c>
      <c r="E204" s="130">
        <v>2</v>
      </c>
      <c r="F204" s="30">
        <v>4000</v>
      </c>
      <c r="G204" s="48">
        <v>4000</v>
      </c>
      <c r="H204" s="48"/>
      <c r="I204" s="48"/>
      <c r="J204" s="48"/>
      <c r="K204" s="48"/>
      <c r="L204" s="48">
        <v>4000</v>
      </c>
      <c r="M204" s="48">
        <v>4000</v>
      </c>
      <c r="N204" s="48"/>
      <c r="O204" s="48"/>
      <c r="P204" s="48"/>
      <c r="Q204" s="48"/>
    </row>
    <row r="205" ht="21" customHeight="true" spans="1:17">
      <c r="A205" s="97" t="str">
        <f t="shared" si="5"/>
        <v>      玉溪市第二人民医院业务收入经费</v>
      </c>
      <c r="B205" s="98" t="s">
        <v>1670</v>
      </c>
      <c r="C205" s="98" t="str">
        <f>"A02329900"&amp;"  "&amp;"其他医疗设备"</f>
        <v>A02329900  其他医疗设备</v>
      </c>
      <c r="D205" s="125" t="s">
        <v>1508</v>
      </c>
      <c r="E205" s="130">
        <v>1</v>
      </c>
      <c r="F205" s="30">
        <v>30000</v>
      </c>
      <c r="G205" s="48">
        <v>30000</v>
      </c>
      <c r="H205" s="48"/>
      <c r="I205" s="48"/>
      <c r="J205" s="48"/>
      <c r="K205" s="48"/>
      <c r="L205" s="48">
        <v>30000</v>
      </c>
      <c r="M205" s="48">
        <v>30000</v>
      </c>
      <c r="N205" s="48"/>
      <c r="O205" s="48"/>
      <c r="P205" s="48"/>
      <c r="Q205" s="48"/>
    </row>
    <row r="206" ht="21" customHeight="true" spans="1:17">
      <c r="A206" s="97" t="str">
        <f t="shared" si="5"/>
        <v>      玉溪市第二人民医院业务收入经费</v>
      </c>
      <c r="B206" s="98" t="s">
        <v>1671</v>
      </c>
      <c r="C206" s="98" t="str">
        <f>"A02091001"&amp;"  "&amp;"普通电视设备（电视机）"</f>
        <v>A02091001  普通电视设备（电视机）</v>
      </c>
      <c r="D206" s="125" t="s">
        <v>1508</v>
      </c>
      <c r="E206" s="130">
        <v>6</v>
      </c>
      <c r="F206" s="30">
        <v>30000</v>
      </c>
      <c r="G206" s="48">
        <v>30000</v>
      </c>
      <c r="H206" s="48"/>
      <c r="I206" s="48"/>
      <c r="J206" s="48"/>
      <c r="K206" s="48"/>
      <c r="L206" s="48">
        <v>30000</v>
      </c>
      <c r="M206" s="48">
        <v>30000</v>
      </c>
      <c r="N206" s="48"/>
      <c r="O206" s="48"/>
      <c r="P206" s="48"/>
      <c r="Q206" s="48"/>
    </row>
    <row r="207" ht="21" customHeight="true" spans="1:17">
      <c r="A207" s="97" t="str">
        <f t="shared" si="5"/>
        <v>      玉溪市第二人民医院业务收入经费</v>
      </c>
      <c r="B207" s="98" t="s">
        <v>1672</v>
      </c>
      <c r="C207" s="98" t="str">
        <f>"A02329900"&amp;"  "&amp;"其他医疗设备"</f>
        <v>A02329900  其他医疗设备</v>
      </c>
      <c r="D207" s="125" t="s">
        <v>1508</v>
      </c>
      <c r="E207" s="130">
        <v>1</v>
      </c>
      <c r="F207" s="30">
        <v>3000</v>
      </c>
      <c r="G207" s="48">
        <v>3000</v>
      </c>
      <c r="H207" s="48"/>
      <c r="I207" s="48"/>
      <c r="J207" s="48"/>
      <c r="K207" s="48"/>
      <c r="L207" s="48">
        <v>3000</v>
      </c>
      <c r="M207" s="48">
        <v>3000</v>
      </c>
      <c r="N207" s="48"/>
      <c r="O207" s="48"/>
      <c r="P207" s="48"/>
      <c r="Q207" s="48"/>
    </row>
    <row r="208" ht="21" customHeight="true" spans="1:17">
      <c r="A208" s="97" t="str">
        <f t="shared" si="5"/>
        <v>      玉溪市第二人民医院业务收入经费</v>
      </c>
      <c r="B208" s="98" t="s">
        <v>1561</v>
      </c>
      <c r="C208" s="98" t="str">
        <f>"A05010502"&amp;"  "&amp;"文件柜"</f>
        <v>A05010502  文件柜</v>
      </c>
      <c r="D208" s="125" t="s">
        <v>1522</v>
      </c>
      <c r="E208" s="130">
        <v>5</v>
      </c>
      <c r="F208" s="30">
        <v>5000</v>
      </c>
      <c r="G208" s="48">
        <v>5000</v>
      </c>
      <c r="H208" s="48"/>
      <c r="I208" s="48"/>
      <c r="J208" s="48"/>
      <c r="K208" s="48"/>
      <c r="L208" s="48">
        <v>5000</v>
      </c>
      <c r="M208" s="48">
        <v>5000</v>
      </c>
      <c r="N208" s="48"/>
      <c r="O208" s="48"/>
      <c r="P208" s="48"/>
      <c r="Q208" s="48"/>
    </row>
    <row r="209" ht="21" customHeight="true" spans="1:17">
      <c r="A209" s="97" t="str">
        <f t="shared" si="5"/>
        <v>      玉溪市第二人民医院业务收入经费</v>
      </c>
      <c r="B209" s="98" t="s">
        <v>1507</v>
      </c>
      <c r="C209" s="98" t="str">
        <f>"A02020100"&amp;"  "&amp;"复印机"</f>
        <v>A02020100  复印机</v>
      </c>
      <c r="D209" s="125" t="s">
        <v>1508</v>
      </c>
      <c r="E209" s="130">
        <v>1</v>
      </c>
      <c r="F209" s="30">
        <v>20000</v>
      </c>
      <c r="G209" s="48">
        <v>20000</v>
      </c>
      <c r="H209" s="48"/>
      <c r="I209" s="48"/>
      <c r="J209" s="48"/>
      <c r="K209" s="48"/>
      <c r="L209" s="48">
        <v>20000</v>
      </c>
      <c r="M209" s="48">
        <v>20000</v>
      </c>
      <c r="N209" s="48"/>
      <c r="O209" s="48"/>
      <c r="P209" s="48"/>
      <c r="Q209" s="48"/>
    </row>
    <row r="210" ht="21" customHeight="true" spans="1:17">
      <c r="A210" s="97" t="str">
        <f t="shared" si="5"/>
        <v>      玉溪市第二人民医院业务收入经费</v>
      </c>
      <c r="B210" s="98" t="s">
        <v>1673</v>
      </c>
      <c r="C210" s="98" t="str">
        <f>"A02010105"&amp;"  "&amp;"台式计算机"</f>
        <v>A02010105  台式计算机</v>
      </c>
      <c r="D210" s="125" t="s">
        <v>1508</v>
      </c>
      <c r="E210" s="130">
        <v>19</v>
      </c>
      <c r="F210" s="30">
        <v>133000</v>
      </c>
      <c r="G210" s="48">
        <v>133000</v>
      </c>
      <c r="H210" s="48"/>
      <c r="I210" s="48"/>
      <c r="J210" s="48"/>
      <c r="K210" s="48"/>
      <c r="L210" s="48">
        <v>133000</v>
      </c>
      <c r="M210" s="48">
        <v>133000</v>
      </c>
      <c r="N210" s="48"/>
      <c r="O210" s="48"/>
      <c r="P210" s="48"/>
      <c r="Q210" s="48"/>
    </row>
    <row r="211" ht="21" customHeight="true" spans="1:17">
      <c r="A211" s="97" t="str">
        <f t="shared" si="5"/>
        <v>      玉溪市第二人民医院业务收入经费</v>
      </c>
      <c r="B211" s="98" t="s">
        <v>1674</v>
      </c>
      <c r="C211" s="98" t="str">
        <f>"A08060303"&amp;"  "&amp;"应用软件"</f>
        <v>A08060303  应用软件</v>
      </c>
      <c r="D211" s="125" t="s">
        <v>1185</v>
      </c>
      <c r="E211" s="130">
        <v>1</v>
      </c>
      <c r="F211" s="30">
        <v>1000000</v>
      </c>
      <c r="G211" s="48">
        <v>1000000</v>
      </c>
      <c r="H211" s="48"/>
      <c r="I211" s="48"/>
      <c r="J211" s="48"/>
      <c r="K211" s="48"/>
      <c r="L211" s="48">
        <v>1000000</v>
      </c>
      <c r="M211" s="48">
        <v>1000000</v>
      </c>
      <c r="N211" s="48"/>
      <c r="O211" s="48"/>
      <c r="P211" s="48"/>
      <c r="Q211" s="48"/>
    </row>
    <row r="212" ht="21" customHeight="true" spans="1:17">
      <c r="A212" s="97" t="str">
        <f t="shared" si="5"/>
        <v>      玉溪市第二人民医院业务收入经费</v>
      </c>
      <c r="B212" s="98" t="s">
        <v>1675</v>
      </c>
      <c r="C212" s="98" t="str">
        <f>"A02061804"&amp;"  "&amp;"空调机"</f>
        <v>A02061804  空调机</v>
      </c>
      <c r="D212" s="125" t="s">
        <v>1508</v>
      </c>
      <c r="E212" s="130">
        <v>10</v>
      </c>
      <c r="F212" s="30">
        <v>50000</v>
      </c>
      <c r="G212" s="48">
        <v>50000</v>
      </c>
      <c r="H212" s="48"/>
      <c r="I212" s="48"/>
      <c r="J212" s="48"/>
      <c r="K212" s="48"/>
      <c r="L212" s="48">
        <v>50000</v>
      </c>
      <c r="M212" s="48">
        <v>50000</v>
      </c>
      <c r="N212" s="48"/>
      <c r="O212" s="48"/>
      <c r="P212" s="48"/>
      <c r="Q212" s="48"/>
    </row>
    <row r="213" ht="21" customHeight="true" spans="1:17">
      <c r="A213" s="97" t="str">
        <f t="shared" si="5"/>
        <v>      玉溪市第二人民医院业务收入经费</v>
      </c>
      <c r="B213" s="98" t="s">
        <v>1519</v>
      </c>
      <c r="C213" s="98" t="str">
        <f>"A02021007"&amp;"  "&amp;"条码打印机"</f>
        <v>A02021007  条码打印机</v>
      </c>
      <c r="D213" s="125" t="s">
        <v>1508</v>
      </c>
      <c r="E213" s="130">
        <v>4</v>
      </c>
      <c r="F213" s="30">
        <v>16000</v>
      </c>
      <c r="G213" s="48">
        <v>16000</v>
      </c>
      <c r="H213" s="48"/>
      <c r="I213" s="48"/>
      <c r="J213" s="48"/>
      <c r="K213" s="48"/>
      <c r="L213" s="48">
        <v>16000</v>
      </c>
      <c r="M213" s="48">
        <v>16000</v>
      </c>
      <c r="N213" s="48"/>
      <c r="O213" s="48"/>
      <c r="P213" s="48"/>
      <c r="Q213" s="48"/>
    </row>
    <row r="214" ht="21" customHeight="true" spans="1:17">
      <c r="A214" s="97" t="str">
        <f t="shared" si="5"/>
        <v>      玉溪市第二人民医院业务收入经费</v>
      </c>
      <c r="B214" s="98" t="s">
        <v>1673</v>
      </c>
      <c r="C214" s="98" t="str">
        <f>"A02010105"&amp;"  "&amp;"台式计算机"</f>
        <v>A02010105  台式计算机</v>
      </c>
      <c r="D214" s="125" t="s">
        <v>1508</v>
      </c>
      <c r="E214" s="130">
        <v>6</v>
      </c>
      <c r="F214" s="30">
        <v>36000</v>
      </c>
      <c r="G214" s="48">
        <v>36000</v>
      </c>
      <c r="H214" s="48"/>
      <c r="I214" s="48"/>
      <c r="J214" s="48"/>
      <c r="K214" s="48"/>
      <c r="L214" s="48">
        <v>36000</v>
      </c>
      <c r="M214" s="48">
        <v>36000</v>
      </c>
      <c r="N214" s="48"/>
      <c r="O214" s="48"/>
      <c r="P214" s="48"/>
      <c r="Q214" s="48"/>
    </row>
    <row r="215" ht="21" customHeight="true" spans="1:17">
      <c r="A215" s="97" t="str">
        <f t="shared" si="5"/>
        <v>      玉溪市第二人民医院业务收入经费</v>
      </c>
      <c r="B215" s="98" t="s">
        <v>1676</v>
      </c>
      <c r="C215" s="98" t="str">
        <f>"A02329900"&amp;"  "&amp;"其他医疗设备"</f>
        <v>A02329900  其他医疗设备</v>
      </c>
      <c r="D215" s="125" t="s">
        <v>1185</v>
      </c>
      <c r="E215" s="130">
        <v>1</v>
      </c>
      <c r="F215" s="30">
        <v>42000</v>
      </c>
      <c r="G215" s="48">
        <v>42000</v>
      </c>
      <c r="H215" s="48"/>
      <c r="I215" s="48"/>
      <c r="J215" s="48"/>
      <c r="K215" s="48"/>
      <c r="L215" s="48">
        <v>42000</v>
      </c>
      <c r="M215" s="48">
        <v>42000</v>
      </c>
      <c r="N215" s="48"/>
      <c r="O215" s="48"/>
      <c r="P215" s="48"/>
      <c r="Q215" s="48"/>
    </row>
    <row r="216" ht="21" customHeight="true" spans="1:17">
      <c r="A216" s="97" t="str">
        <f t="shared" si="5"/>
        <v>      玉溪市第二人民医院业务收入经费</v>
      </c>
      <c r="B216" s="98" t="s">
        <v>1677</v>
      </c>
      <c r="C216" s="98" t="str">
        <f>"A02010108"&amp;"  "&amp;"便携式计算机"</f>
        <v>A02010108  便携式计算机</v>
      </c>
      <c r="D216" s="125" t="s">
        <v>1508</v>
      </c>
      <c r="E216" s="130">
        <v>1</v>
      </c>
      <c r="F216" s="30">
        <v>6000</v>
      </c>
      <c r="G216" s="48">
        <v>6000</v>
      </c>
      <c r="H216" s="48"/>
      <c r="I216" s="48"/>
      <c r="J216" s="48"/>
      <c r="K216" s="48"/>
      <c r="L216" s="48">
        <v>6000</v>
      </c>
      <c r="M216" s="48">
        <v>6000</v>
      </c>
      <c r="N216" s="48"/>
      <c r="O216" s="48"/>
      <c r="P216" s="48"/>
      <c r="Q216" s="48"/>
    </row>
    <row r="217" ht="21" customHeight="true" spans="1:17">
      <c r="A217" s="97" t="str">
        <f t="shared" si="5"/>
        <v>      玉溪市第二人民医院业务收入经费</v>
      </c>
      <c r="B217" s="98" t="s">
        <v>1678</v>
      </c>
      <c r="C217" s="98" t="str">
        <f>"A02021099"&amp;"  "&amp;"其他打印机"</f>
        <v>A02021099  其他打印机</v>
      </c>
      <c r="D217" s="125" t="s">
        <v>1508</v>
      </c>
      <c r="E217" s="130">
        <v>6</v>
      </c>
      <c r="F217" s="30">
        <v>15000</v>
      </c>
      <c r="G217" s="48">
        <v>15000</v>
      </c>
      <c r="H217" s="48"/>
      <c r="I217" s="48"/>
      <c r="J217" s="48"/>
      <c r="K217" s="48"/>
      <c r="L217" s="48">
        <v>15000</v>
      </c>
      <c r="M217" s="48">
        <v>15000</v>
      </c>
      <c r="N217" s="48"/>
      <c r="O217" s="48"/>
      <c r="P217" s="48"/>
      <c r="Q217" s="48"/>
    </row>
    <row r="218" ht="21" customHeight="true" spans="1:17">
      <c r="A218" s="97" t="str">
        <f t="shared" si="5"/>
        <v>      玉溪市第二人民医院业务收入经费</v>
      </c>
      <c r="B218" s="98" t="s">
        <v>1540</v>
      </c>
      <c r="C218" s="98" t="str">
        <f>"A05010201"&amp;"  "&amp;"办公桌"</f>
        <v>A05010201  办公桌</v>
      </c>
      <c r="D218" s="125" t="s">
        <v>1565</v>
      </c>
      <c r="E218" s="130">
        <v>6</v>
      </c>
      <c r="F218" s="30">
        <v>12000</v>
      </c>
      <c r="G218" s="48">
        <v>12000</v>
      </c>
      <c r="H218" s="48"/>
      <c r="I218" s="48"/>
      <c r="J218" s="48"/>
      <c r="K218" s="48"/>
      <c r="L218" s="48">
        <v>12000</v>
      </c>
      <c r="M218" s="48">
        <v>12000</v>
      </c>
      <c r="N218" s="48"/>
      <c r="O218" s="48"/>
      <c r="P218" s="48"/>
      <c r="Q218" s="48"/>
    </row>
    <row r="219" ht="21" customHeight="true" spans="1:17">
      <c r="A219" s="97" t="str">
        <f t="shared" si="5"/>
        <v>      玉溪市第二人民医院业务收入经费</v>
      </c>
      <c r="B219" s="98" t="s">
        <v>1679</v>
      </c>
      <c r="C219" s="98" t="str">
        <f>"A05010599"&amp;"  "&amp;"其他柜类"</f>
        <v>A05010599  其他柜类</v>
      </c>
      <c r="D219" s="125" t="s">
        <v>1522</v>
      </c>
      <c r="E219" s="130">
        <v>5</v>
      </c>
      <c r="F219" s="30">
        <v>5000</v>
      </c>
      <c r="G219" s="48">
        <v>5000</v>
      </c>
      <c r="H219" s="48"/>
      <c r="I219" s="48"/>
      <c r="J219" s="48"/>
      <c r="K219" s="48"/>
      <c r="L219" s="48">
        <v>5000</v>
      </c>
      <c r="M219" s="48">
        <v>5000</v>
      </c>
      <c r="N219" s="48"/>
      <c r="O219" s="48"/>
      <c r="P219" s="48"/>
      <c r="Q219" s="48"/>
    </row>
    <row r="220" ht="21" customHeight="true" spans="1:17">
      <c r="A220" s="97" t="str">
        <f t="shared" si="5"/>
        <v>      玉溪市第二人民医院业务收入经费</v>
      </c>
      <c r="B220" s="98" t="s">
        <v>1680</v>
      </c>
      <c r="C220" s="98" t="str">
        <f>"A02329900"&amp;"  "&amp;"其他医疗设备"</f>
        <v>A02329900  其他医疗设备</v>
      </c>
      <c r="D220" s="125" t="s">
        <v>1508</v>
      </c>
      <c r="E220" s="130">
        <v>4</v>
      </c>
      <c r="F220" s="30">
        <v>100000</v>
      </c>
      <c r="G220" s="48">
        <v>100000</v>
      </c>
      <c r="H220" s="48"/>
      <c r="I220" s="48"/>
      <c r="J220" s="48"/>
      <c r="K220" s="48"/>
      <c r="L220" s="48">
        <v>100000</v>
      </c>
      <c r="M220" s="48">
        <v>100000</v>
      </c>
      <c r="N220" s="48"/>
      <c r="O220" s="48"/>
      <c r="P220" s="48"/>
      <c r="Q220" s="48"/>
    </row>
    <row r="221" ht="21" customHeight="true" spans="1:17">
      <c r="A221" s="97" t="str">
        <f t="shared" si="5"/>
        <v>      玉溪市第二人民医院业务收入经费</v>
      </c>
      <c r="B221" s="98" t="s">
        <v>1681</v>
      </c>
      <c r="C221" s="98" t="str">
        <f>"A02321900"&amp;"  "&amp;"临床检验设备"</f>
        <v>A02321900  临床检验设备</v>
      </c>
      <c r="D221" s="125" t="s">
        <v>1508</v>
      </c>
      <c r="E221" s="130">
        <v>1</v>
      </c>
      <c r="F221" s="30">
        <v>50000</v>
      </c>
      <c r="G221" s="48">
        <v>50000</v>
      </c>
      <c r="H221" s="48"/>
      <c r="I221" s="48"/>
      <c r="J221" s="48"/>
      <c r="K221" s="48"/>
      <c r="L221" s="48">
        <v>50000</v>
      </c>
      <c r="M221" s="48">
        <v>50000</v>
      </c>
      <c r="N221" s="48"/>
      <c r="O221" s="48"/>
      <c r="P221" s="48"/>
      <c r="Q221" s="48"/>
    </row>
    <row r="222" ht="21" customHeight="true" spans="1:17">
      <c r="A222" s="97" t="str">
        <f t="shared" si="5"/>
        <v>      玉溪市第二人民医院业务收入经费</v>
      </c>
      <c r="B222" s="98" t="s">
        <v>1682</v>
      </c>
      <c r="C222" s="98" t="str">
        <f>"A02320400"&amp;"  "&amp;"医用光学仪器"</f>
        <v>A02320400  医用光学仪器</v>
      </c>
      <c r="D222" s="125" t="s">
        <v>1508</v>
      </c>
      <c r="E222" s="130">
        <v>1</v>
      </c>
      <c r="F222" s="30">
        <v>120000</v>
      </c>
      <c r="G222" s="48">
        <v>120000</v>
      </c>
      <c r="H222" s="48"/>
      <c r="I222" s="48"/>
      <c r="J222" s="48"/>
      <c r="K222" s="48"/>
      <c r="L222" s="48">
        <v>120000</v>
      </c>
      <c r="M222" s="48">
        <v>120000</v>
      </c>
      <c r="N222" s="48"/>
      <c r="O222" s="48"/>
      <c r="P222" s="48"/>
      <c r="Q222" s="48"/>
    </row>
    <row r="223" ht="21" customHeight="true" spans="1:17">
      <c r="A223" s="97" t="str">
        <f t="shared" si="5"/>
        <v>      玉溪市第二人民医院业务收入经费</v>
      </c>
      <c r="B223" s="98" t="s">
        <v>1683</v>
      </c>
      <c r="C223" s="98" t="str">
        <f>"A02320400"&amp;"  "&amp;"医用光学仪器"</f>
        <v>A02320400  医用光学仪器</v>
      </c>
      <c r="D223" s="125" t="s">
        <v>1508</v>
      </c>
      <c r="E223" s="130">
        <v>1</v>
      </c>
      <c r="F223" s="30">
        <v>50000</v>
      </c>
      <c r="G223" s="48">
        <v>50000</v>
      </c>
      <c r="H223" s="48"/>
      <c r="I223" s="48"/>
      <c r="J223" s="48"/>
      <c r="K223" s="48"/>
      <c r="L223" s="48">
        <v>50000</v>
      </c>
      <c r="M223" s="48">
        <v>50000</v>
      </c>
      <c r="N223" s="48"/>
      <c r="O223" s="48"/>
      <c r="P223" s="48"/>
      <c r="Q223" s="48"/>
    </row>
    <row r="224" ht="21" customHeight="true" spans="1:17">
      <c r="A224" s="97" t="str">
        <f t="shared" si="5"/>
        <v>      玉溪市第二人民医院业务收入经费</v>
      </c>
      <c r="B224" s="98" t="s">
        <v>1684</v>
      </c>
      <c r="C224" s="98" t="str">
        <f>"A02061599"&amp;"  "&amp;"其他电源设备"</f>
        <v>A02061599  其他电源设备</v>
      </c>
      <c r="D224" s="125" t="s">
        <v>1185</v>
      </c>
      <c r="E224" s="130">
        <v>1</v>
      </c>
      <c r="F224" s="30">
        <v>10000</v>
      </c>
      <c r="G224" s="48">
        <v>10000</v>
      </c>
      <c r="H224" s="48"/>
      <c r="I224" s="48"/>
      <c r="J224" s="48"/>
      <c r="K224" s="48"/>
      <c r="L224" s="48">
        <v>10000</v>
      </c>
      <c r="M224" s="48">
        <v>10000</v>
      </c>
      <c r="N224" s="48"/>
      <c r="O224" s="48"/>
      <c r="P224" s="48"/>
      <c r="Q224" s="48"/>
    </row>
    <row r="225" ht="21" customHeight="true" spans="1:17">
      <c r="A225" s="97" t="str">
        <f t="shared" si="5"/>
        <v>      玉溪市第二人民医院业务收入经费</v>
      </c>
      <c r="B225" s="98" t="s">
        <v>1660</v>
      </c>
      <c r="C225" s="98" t="str">
        <f>"A02021003"&amp;"  "&amp;"A4黑白打印机"</f>
        <v>A02021003  A4黑白打印机</v>
      </c>
      <c r="D225" s="125" t="s">
        <v>1508</v>
      </c>
      <c r="E225" s="130">
        <v>4</v>
      </c>
      <c r="F225" s="30">
        <v>6000</v>
      </c>
      <c r="G225" s="48">
        <v>6000</v>
      </c>
      <c r="H225" s="48"/>
      <c r="I225" s="48"/>
      <c r="J225" s="48"/>
      <c r="K225" s="48"/>
      <c r="L225" s="48">
        <v>6000</v>
      </c>
      <c r="M225" s="48">
        <v>6000</v>
      </c>
      <c r="N225" s="48"/>
      <c r="O225" s="48"/>
      <c r="P225" s="48"/>
      <c r="Q225" s="48"/>
    </row>
    <row r="226" ht="21" customHeight="true" spans="1:17">
      <c r="A226" s="97" t="str">
        <f t="shared" si="5"/>
        <v>      玉溪市第二人民医院业务收入经费</v>
      </c>
      <c r="B226" s="98" t="s">
        <v>1685</v>
      </c>
      <c r="C226" s="98" t="str">
        <f>"A02010105"&amp;"  "&amp;"台式计算机"</f>
        <v>A02010105  台式计算机</v>
      </c>
      <c r="D226" s="125" t="s">
        <v>1508</v>
      </c>
      <c r="E226" s="130">
        <v>1</v>
      </c>
      <c r="F226" s="30">
        <v>5000</v>
      </c>
      <c r="G226" s="48">
        <v>5000</v>
      </c>
      <c r="H226" s="48"/>
      <c r="I226" s="48"/>
      <c r="J226" s="48"/>
      <c r="K226" s="48"/>
      <c r="L226" s="48">
        <v>5000</v>
      </c>
      <c r="M226" s="48">
        <v>5000</v>
      </c>
      <c r="N226" s="48"/>
      <c r="O226" s="48"/>
      <c r="P226" s="48"/>
      <c r="Q226" s="48"/>
    </row>
    <row r="227" ht="21" customHeight="true" spans="1:17">
      <c r="A227" s="97" t="str">
        <f t="shared" si="5"/>
        <v>      玉溪市第二人民医院业务收入经费</v>
      </c>
      <c r="B227" s="98" t="s">
        <v>1586</v>
      </c>
      <c r="C227" s="98" t="str">
        <f>"A05010504"&amp;"  "&amp;"保密柜"</f>
        <v>A05010504  保密柜</v>
      </c>
      <c r="D227" s="125" t="s">
        <v>998</v>
      </c>
      <c r="E227" s="130">
        <v>1</v>
      </c>
      <c r="F227" s="30">
        <v>2000</v>
      </c>
      <c r="G227" s="48">
        <v>2000</v>
      </c>
      <c r="H227" s="48"/>
      <c r="I227" s="48"/>
      <c r="J227" s="48"/>
      <c r="K227" s="48"/>
      <c r="L227" s="48">
        <v>2000</v>
      </c>
      <c r="M227" s="48">
        <v>2000</v>
      </c>
      <c r="N227" s="48"/>
      <c r="O227" s="48"/>
      <c r="P227" s="48"/>
      <c r="Q227" s="48"/>
    </row>
    <row r="228" ht="21" customHeight="true" spans="1:17">
      <c r="A228" s="97" t="str">
        <f t="shared" si="5"/>
        <v>      玉溪市第二人民医院业务收入经费</v>
      </c>
      <c r="B228" s="98" t="s">
        <v>1686</v>
      </c>
      <c r="C228" s="98" t="str">
        <f>"A02320700"&amp;"  "&amp;"医用内窥镜"</f>
        <v>A02320700  医用内窥镜</v>
      </c>
      <c r="D228" s="125" t="s">
        <v>1185</v>
      </c>
      <c r="E228" s="130">
        <v>1</v>
      </c>
      <c r="F228" s="30">
        <v>50000</v>
      </c>
      <c r="G228" s="48">
        <v>50000</v>
      </c>
      <c r="H228" s="48"/>
      <c r="I228" s="48"/>
      <c r="J228" s="48"/>
      <c r="K228" s="48"/>
      <c r="L228" s="48">
        <v>50000</v>
      </c>
      <c r="M228" s="48">
        <v>50000</v>
      </c>
      <c r="N228" s="48"/>
      <c r="O228" s="48"/>
      <c r="P228" s="48"/>
      <c r="Q228" s="48"/>
    </row>
    <row r="229" ht="21" customHeight="true" spans="1:17">
      <c r="A229" s="124" t="s">
        <v>81</v>
      </c>
      <c r="B229" s="18"/>
      <c r="C229" s="18"/>
      <c r="D229" s="18"/>
      <c r="E229" s="18"/>
      <c r="F229" s="129">
        <v>15000</v>
      </c>
      <c r="G229" s="48">
        <v>19500</v>
      </c>
      <c r="H229" s="48">
        <v>19500</v>
      </c>
      <c r="I229" s="48"/>
      <c r="J229" s="48"/>
      <c r="K229" s="48"/>
      <c r="L229" s="48"/>
      <c r="M229" s="48"/>
      <c r="N229" s="48"/>
      <c r="O229" s="48"/>
      <c r="P229" s="48"/>
      <c r="Q229" s="48"/>
    </row>
    <row r="230" ht="21" customHeight="true" spans="1:17">
      <c r="A230" s="97" t="str">
        <f>"      "&amp;"一般公用经费"</f>
        <v>      一般公用经费</v>
      </c>
      <c r="B230" s="98" t="s">
        <v>1687</v>
      </c>
      <c r="C230" s="98" t="str">
        <f>"A02020000"&amp;"  "&amp;"办公设备"</f>
        <v>A02020000  办公设备</v>
      </c>
      <c r="D230" s="125" t="s">
        <v>1505</v>
      </c>
      <c r="E230" s="130">
        <v>1</v>
      </c>
      <c r="F230" s="30"/>
      <c r="G230" s="48">
        <v>4500</v>
      </c>
      <c r="H230" s="48">
        <v>4500</v>
      </c>
      <c r="I230" s="48"/>
      <c r="J230" s="48"/>
      <c r="K230" s="48"/>
      <c r="L230" s="48"/>
      <c r="M230" s="48"/>
      <c r="N230" s="48"/>
      <c r="O230" s="48"/>
      <c r="P230" s="48"/>
      <c r="Q230" s="48"/>
    </row>
    <row r="231" ht="21" customHeight="true" spans="1:17">
      <c r="A231" s="97" t="str">
        <f>"      "&amp;"一般公用经费"</f>
        <v>      一般公用经费</v>
      </c>
      <c r="B231" s="98" t="s">
        <v>1688</v>
      </c>
      <c r="C231" s="98" t="str">
        <f>"A05040101"&amp;"  "&amp;"复印纸"</f>
        <v>A05040101  复印纸</v>
      </c>
      <c r="D231" s="125" t="s">
        <v>1505</v>
      </c>
      <c r="E231" s="130">
        <v>1</v>
      </c>
      <c r="F231" s="30">
        <v>15000</v>
      </c>
      <c r="G231" s="48">
        <v>15000</v>
      </c>
      <c r="H231" s="48">
        <v>15000</v>
      </c>
      <c r="I231" s="48"/>
      <c r="J231" s="48"/>
      <c r="K231" s="48"/>
      <c r="L231" s="48"/>
      <c r="M231" s="48"/>
      <c r="N231" s="48"/>
      <c r="O231" s="48"/>
      <c r="P231" s="48"/>
      <c r="Q231" s="48"/>
    </row>
    <row r="232" ht="21" customHeight="true" spans="1:17">
      <c r="A232" s="124" t="s">
        <v>83</v>
      </c>
      <c r="B232" s="18"/>
      <c r="C232" s="18"/>
      <c r="D232" s="18"/>
      <c r="E232" s="18"/>
      <c r="F232" s="129"/>
      <c r="G232" s="48">
        <v>5106166</v>
      </c>
      <c r="H232" s="48"/>
      <c r="I232" s="48"/>
      <c r="J232" s="48"/>
      <c r="K232" s="48"/>
      <c r="L232" s="48">
        <v>5106166</v>
      </c>
      <c r="M232" s="48">
        <v>5106166</v>
      </c>
      <c r="N232" s="48"/>
      <c r="O232" s="48"/>
      <c r="P232" s="48"/>
      <c r="Q232" s="48"/>
    </row>
    <row r="233" ht="21" customHeight="true" spans="1:17">
      <c r="A233" s="97" t="str">
        <f t="shared" ref="A233:A248" si="6">"      "&amp;"玉溪市儿童医院自有资金预算支出专项资金"</f>
        <v>      玉溪市儿童医院自有资金预算支出专项资金</v>
      </c>
      <c r="B233" s="98" t="s">
        <v>1554</v>
      </c>
      <c r="C233" s="98" t="str">
        <f>"A02010105"&amp;"  "&amp;"台式计算机"</f>
        <v>A02010105  台式计算机</v>
      </c>
      <c r="D233" s="125" t="s">
        <v>1505</v>
      </c>
      <c r="E233" s="130">
        <v>20</v>
      </c>
      <c r="F233" s="30"/>
      <c r="G233" s="48">
        <v>92000</v>
      </c>
      <c r="H233" s="48"/>
      <c r="I233" s="48"/>
      <c r="J233" s="48"/>
      <c r="K233" s="48"/>
      <c r="L233" s="48">
        <v>92000</v>
      </c>
      <c r="M233" s="48">
        <v>92000</v>
      </c>
      <c r="N233" s="48"/>
      <c r="O233" s="48"/>
      <c r="P233" s="48"/>
      <c r="Q233" s="48"/>
    </row>
    <row r="234" ht="21" customHeight="true" spans="1:17">
      <c r="A234" s="97" t="str">
        <f t="shared" si="6"/>
        <v>      玉溪市儿童医院自有资金预算支出专项资金</v>
      </c>
      <c r="B234" s="98" t="s">
        <v>1689</v>
      </c>
      <c r="C234" s="98" t="str">
        <f>"A02320300"&amp;"  "&amp;"医用电子生理参数检测仪器设备"</f>
        <v>A02320300  医用电子生理参数检测仪器设备</v>
      </c>
      <c r="D234" s="125" t="s">
        <v>1505</v>
      </c>
      <c r="E234" s="130">
        <v>1</v>
      </c>
      <c r="F234" s="30"/>
      <c r="G234" s="48">
        <v>798100</v>
      </c>
      <c r="H234" s="48"/>
      <c r="I234" s="48"/>
      <c r="J234" s="48"/>
      <c r="K234" s="48"/>
      <c r="L234" s="48">
        <v>798100</v>
      </c>
      <c r="M234" s="48">
        <v>798100</v>
      </c>
      <c r="N234" s="48"/>
      <c r="O234" s="48"/>
      <c r="P234" s="48"/>
      <c r="Q234" s="48"/>
    </row>
    <row r="235" ht="21" customHeight="true" spans="1:17">
      <c r="A235" s="97" t="str">
        <f t="shared" si="6"/>
        <v>      玉溪市儿童医院自有资金预算支出专项资金</v>
      </c>
      <c r="B235" s="98" t="s">
        <v>1690</v>
      </c>
      <c r="C235" s="98" t="str">
        <f>"C21040000"&amp;"  "&amp;"物业管理服务"</f>
        <v>C21040000  物业管理服务</v>
      </c>
      <c r="D235" s="125" t="s">
        <v>1505</v>
      </c>
      <c r="E235" s="130">
        <v>1</v>
      </c>
      <c r="F235" s="30"/>
      <c r="G235" s="48">
        <v>790500</v>
      </c>
      <c r="H235" s="48"/>
      <c r="I235" s="48"/>
      <c r="J235" s="48"/>
      <c r="K235" s="48"/>
      <c r="L235" s="48">
        <v>790500</v>
      </c>
      <c r="M235" s="48">
        <v>790500</v>
      </c>
      <c r="N235" s="48"/>
      <c r="O235" s="48"/>
      <c r="P235" s="48"/>
      <c r="Q235" s="48"/>
    </row>
    <row r="236" ht="21" customHeight="true" spans="1:17">
      <c r="A236" s="97" t="str">
        <f t="shared" si="6"/>
        <v>      玉溪市儿童医院自有资金预算支出专项资金</v>
      </c>
      <c r="B236" s="98" t="s">
        <v>1506</v>
      </c>
      <c r="C236" s="98" t="str">
        <f>"C1804010201"&amp;"  "&amp;"机动车保险服务"</f>
        <v>C1804010201  机动车保险服务</v>
      </c>
      <c r="D236" s="125" t="s">
        <v>1505</v>
      </c>
      <c r="E236" s="130">
        <v>1</v>
      </c>
      <c r="F236" s="30"/>
      <c r="G236" s="48">
        <v>14000</v>
      </c>
      <c r="H236" s="48"/>
      <c r="I236" s="48"/>
      <c r="J236" s="48"/>
      <c r="K236" s="48"/>
      <c r="L236" s="48">
        <v>14000</v>
      </c>
      <c r="M236" s="48">
        <v>14000</v>
      </c>
      <c r="N236" s="48"/>
      <c r="O236" s="48"/>
      <c r="P236" s="48"/>
      <c r="Q236" s="48"/>
    </row>
    <row r="237" ht="21" customHeight="true" spans="1:17">
      <c r="A237" s="97" t="str">
        <f t="shared" si="6"/>
        <v>      玉溪市儿童医院自有资金预算支出专项资金</v>
      </c>
      <c r="B237" s="98" t="s">
        <v>1691</v>
      </c>
      <c r="C237" s="98" t="str">
        <f>"C21040000"&amp;"  "&amp;"物业管理服务"</f>
        <v>C21040000  物业管理服务</v>
      </c>
      <c r="D237" s="125" t="s">
        <v>1505</v>
      </c>
      <c r="E237" s="130">
        <v>1</v>
      </c>
      <c r="F237" s="30"/>
      <c r="G237" s="48">
        <v>2501966</v>
      </c>
      <c r="H237" s="48"/>
      <c r="I237" s="48"/>
      <c r="J237" s="48"/>
      <c r="K237" s="48"/>
      <c r="L237" s="48">
        <v>2501966</v>
      </c>
      <c r="M237" s="48">
        <v>2501966</v>
      </c>
      <c r="N237" s="48"/>
      <c r="O237" s="48"/>
      <c r="P237" s="48"/>
      <c r="Q237" s="48"/>
    </row>
    <row r="238" ht="21" customHeight="true" spans="1:17">
      <c r="A238" s="97" t="str">
        <f t="shared" si="6"/>
        <v>      玉溪市儿童医院自有资金预算支出专项资金</v>
      </c>
      <c r="B238" s="98" t="s">
        <v>1692</v>
      </c>
      <c r="C238" s="98" t="str">
        <f>"A05040101"&amp;"  "&amp;"复印纸"</f>
        <v>A05040101  复印纸</v>
      </c>
      <c r="D238" s="125" t="s">
        <v>1505</v>
      </c>
      <c r="E238" s="130">
        <v>1</v>
      </c>
      <c r="F238" s="30"/>
      <c r="G238" s="48">
        <v>115000</v>
      </c>
      <c r="H238" s="48"/>
      <c r="I238" s="48"/>
      <c r="J238" s="48"/>
      <c r="K238" s="48"/>
      <c r="L238" s="48">
        <v>115000</v>
      </c>
      <c r="M238" s="48">
        <v>115000</v>
      </c>
      <c r="N238" s="48"/>
      <c r="O238" s="48"/>
      <c r="P238" s="48"/>
      <c r="Q238" s="48"/>
    </row>
    <row r="239" ht="21" customHeight="true" spans="1:17">
      <c r="A239" s="97" t="str">
        <f t="shared" si="6"/>
        <v>      玉溪市儿童医院自有资金预算支出专项资金</v>
      </c>
      <c r="B239" s="98" t="s">
        <v>1693</v>
      </c>
      <c r="C239" s="98" t="str">
        <f>"C23120301"&amp;"  "&amp;"车辆维修和保养服务"</f>
        <v>C23120301  车辆维修和保养服务</v>
      </c>
      <c r="D239" s="125" t="s">
        <v>1505</v>
      </c>
      <c r="E239" s="130">
        <v>1</v>
      </c>
      <c r="F239" s="30"/>
      <c r="G239" s="48">
        <v>20000</v>
      </c>
      <c r="H239" s="48"/>
      <c r="I239" s="48"/>
      <c r="J239" s="48"/>
      <c r="K239" s="48"/>
      <c r="L239" s="48">
        <v>20000</v>
      </c>
      <c r="M239" s="48">
        <v>20000</v>
      </c>
      <c r="N239" s="48"/>
      <c r="O239" s="48"/>
      <c r="P239" s="48"/>
      <c r="Q239" s="48"/>
    </row>
    <row r="240" ht="21" customHeight="true" spans="1:17">
      <c r="A240" s="97" t="str">
        <f t="shared" si="6"/>
        <v>      玉溪市儿童医院自有资金预算支出专项资金</v>
      </c>
      <c r="B240" s="98" t="s">
        <v>1694</v>
      </c>
      <c r="C240" s="98" t="str">
        <f>"A02021103"&amp;"  "&amp;"LED显示屏"</f>
        <v>A02021103  LED显示屏</v>
      </c>
      <c r="D240" s="125" t="s">
        <v>1505</v>
      </c>
      <c r="E240" s="130">
        <v>1</v>
      </c>
      <c r="F240" s="30"/>
      <c r="G240" s="48">
        <v>160000</v>
      </c>
      <c r="H240" s="48"/>
      <c r="I240" s="48"/>
      <c r="J240" s="48"/>
      <c r="K240" s="48"/>
      <c r="L240" s="48">
        <v>160000</v>
      </c>
      <c r="M240" s="48">
        <v>160000</v>
      </c>
      <c r="N240" s="48"/>
      <c r="O240" s="48"/>
      <c r="P240" s="48"/>
      <c r="Q240" s="48"/>
    </row>
    <row r="241" ht="21" customHeight="true" spans="1:17">
      <c r="A241" s="97" t="str">
        <f t="shared" si="6"/>
        <v>      玉溪市儿童医院自有资金预算支出专项资金</v>
      </c>
      <c r="B241" s="98" t="s">
        <v>1695</v>
      </c>
      <c r="C241" s="98" t="str">
        <f>"A02021004"&amp;"  "&amp;"A4彩色打印机"</f>
        <v>A02021004  A4彩色打印机</v>
      </c>
      <c r="D241" s="125" t="s">
        <v>1505</v>
      </c>
      <c r="E241" s="130">
        <v>3</v>
      </c>
      <c r="F241" s="30"/>
      <c r="G241" s="48">
        <v>6600</v>
      </c>
      <c r="H241" s="48"/>
      <c r="I241" s="48"/>
      <c r="J241" s="48"/>
      <c r="K241" s="48"/>
      <c r="L241" s="48">
        <v>6600</v>
      </c>
      <c r="M241" s="48">
        <v>6600</v>
      </c>
      <c r="N241" s="48"/>
      <c r="O241" s="48"/>
      <c r="P241" s="48"/>
      <c r="Q241" s="48"/>
    </row>
    <row r="242" ht="21" customHeight="true" spans="1:17">
      <c r="A242" s="97" t="str">
        <f t="shared" si="6"/>
        <v>      玉溪市儿童医院自有资金预算支出专项资金</v>
      </c>
      <c r="B242" s="98" t="s">
        <v>1696</v>
      </c>
      <c r="C242" s="98" t="str">
        <f>"A02021004"&amp;"  "&amp;"A4彩色打印机"</f>
        <v>A02021004  A4彩色打印机</v>
      </c>
      <c r="D242" s="125" t="s">
        <v>1505</v>
      </c>
      <c r="E242" s="130">
        <v>3</v>
      </c>
      <c r="F242" s="30"/>
      <c r="G242" s="48">
        <v>12000</v>
      </c>
      <c r="H242" s="48"/>
      <c r="I242" s="48"/>
      <c r="J242" s="48"/>
      <c r="K242" s="48"/>
      <c r="L242" s="48">
        <v>12000</v>
      </c>
      <c r="M242" s="48">
        <v>12000</v>
      </c>
      <c r="N242" s="48"/>
      <c r="O242" s="48"/>
      <c r="P242" s="48"/>
      <c r="Q242" s="48"/>
    </row>
    <row r="243" ht="21" customHeight="true" spans="1:17">
      <c r="A243" s="97" t="str">
        <f t="shared" si="6"/>
        <v>      玉溪市儿童医院自有资金预算支出专项资金</v>
      </c>
      <c r="B243" s="98" t="s">
        <v>1697</v>
      </c>
      <c r="C243" s="98" t="str">
        <f>"A02030500"&amp;"  "&amp;"乘用车"</f>
        <v>A02030500  乘用车</v>
      </c>
      <c r="D243" s="125" t="s">
        <v>1505</v>
      </c>
      <c r="E243" s="130">
        <v>1</v>
      </c>
      <c r="F243" s="30"/>
      <c r="G243" s="48">
        <v>300000</v>
      </c>
      <c r="H243" s="48"/>
      <c r="I243" s="48"/>
      <c r="J243" s="48"/>
      <c r="K243" s="48"/>
      <c r="L243" s="48">
        <v>300000</v>
      </c>
      <c r="M243" s="48">
        <v>300000</v>
      </c>
      <c r="N243" s="48"/>
      <c r="O243" s="48"/>
      <c r="P243" s="48"/>
      <c r="Q243" s="48"/>
    </row>
    <row r="244" ht="21" customHeight="true" spans="1:17">
      <c r="A244" s="97" t="str">
        <f t="shared" si="6"/>
        <v>      玉溪市儿童医院自有资金预算支出专项资金</v>
      </c>
      <c r="B244" s="98" t="s">
        <v>1698</v>
      </c>
      <c r="C244" s="98" t="str">
        <f>"C23120302"&amp;"  "&amp;"车辆加油、添加燃料服务"</f>
        <v>C23120302  车辆加油、添加燃料服务</v>
      </c>
      <c r="D244" s="125" t="s">
        <v>1505</v>
      </c>
      <c r="E244" s="130">
        <v>1</v>
      </c>
      <c r="F244" s="30"/>
      <c r="G244" s="48">
        <v>50000</v>
      </c>
      <c r="H244" s="48"/>
      <c r="I244" s="48"/>
      <c r="J244" s="48"/>
      <c r="K244" s="48"/>
      <c r="L244" s="48">
        <v>50000</v>
      </c>
      <c r="M244" s="48">
        <v>50000</v>
      </c>
      <c r="N244" s="48"/>
      <c r="O244" s="48"/>
      <c r="P244" s="48"/>
      <c r="Q244" s="48"/>
    </row>
    <row r="245" ht="21" customHeight="true" spans="1:17">
      <c r="A245" s="97" t="str">
        <f t="shared" si="6"/>
        <v>      玉溪市儿童医院自有资金预算支出专项资金</v>
      </c>
      <c r="B245" s="98" t="s">
        <v>1699</v>
      </c>
      <c r="C245" s="98" t="str">
        <f>"A02061804"&amp;"  "&amp;"空调机"</f>
        <v>A02061804  空调机</v>
      </c>
      <c r="D245" s="125" t="s">
        <v>1505</v>
      </c>
      <c r="E245" s="130">
        <v>1</v>
      </c>
      <c r="F245" s="30"/>
      <c r="G245" s="48">
        <v>60000</v>
      </c>
      <c r="H245" s="48"/>
      <c r="I245" s="48"/>
      <c r="J245" s="48"/>
      <c r="K245" s="48"/>
      <c r="L245" s="48">
        <v>60000</v>
      </c>
      <c r="M245" s="48">
        <v>60000</v>
      </c>
      <c r="N245" s="48"/>
      <c r="O245" s="48"/>
      <c r="P245" s="48"/>
      <c r="Q245" s="48"/>
    </row>
    <row r="246" ht="21" customHeight="true" spans="1:17">
      <c r="A246" s="97" t="str">
        <f t="shared" si="6"/>
        <v>      玉溪市儿童医院自有资金预算支出专项资金</v>
      </c>
      <c r="B246" s="98" t="s">
        <v>1700</v>
      </c>
      <c r="C246" s="98" t="str">
        <f>"C21040000"&amp;"  "&amp;"物业管理服务"</f>
        <v>C21040000  物业管理服务</v>
      </c>
      <c r="D246" s="125" t="s">
        <v>1505</v>
      </c>
      <c r="E246" s="130">
        <v>1</v>
      </c>
      <c r="F246" s="30"/>
      <c r="G246" s="48">
        <v>65000</v>
      </c>
      <c r="H246" s="48"/>
      <c r="I246" s="48"/>
      <c r="J246" s="48"/>
      <c r="K246" s="48"/>
      <c r="L246" s="48">
        <v>65000</v>
      </c>
      <c r="M246" s="48">
        <v>65000</v>
      </c>
      <c r="N246" s="48"/>
      <c r="O246" s="48"/>
      <c r="P246" s="48"/>
      <c r="Q246" s="48"/>
    </row>
    <row r="247" ht="21" customHeight="true" spans="1:17">
      <c r="A247" s="97" t="str">
        <f t="shared" si="6"/>
        <v>      玉溪市儿童医院自有资金预算支出专项资金</v>
      </c>
      <c r="B247" s="98" t="s">
        <v>1516</v>
      </c>
      <c r="C247" s="98" t="str">
        <f>"A02021003"&amp;"  "&amp;"A4黑白打印机"</f>
        <v>A02021003  A4黑白打印机</v>
      </c>
      <c r="D247" s="125" t="s">
        <v>1505</v>
      </c>
      <c r="E247" s="130">
        <v>14</v>
      </c>
      <c r="F247" s="30"/>
      <c r="G247" s="48">
        <v>21000</v>
      </c>
      <c r="H247" s="48"/>
      <c r="I247" s="48"/>
      <c r="J247" s="48"/>
      <c r="K247" s="48"/>
      <c r="L247" s="48">
        <v>21000</v>
      </c>
      <c r="M247" s="48">
        <v>21000</v>
      </c>
      <c r="N247" s="48"/>
      <c r="O247" s="48"/>
      <c r="P247" s="48"/>
      <c r="Q247" s="48"/>
    </row>
    <row r="248" ht="21" customHeight="true" spans="1:17">
      <c r="A248" s="97" t="str">
        <f t="shared" si="6"/>
        <v>      玉溪市儿童医院自有资金预算支出专项资金</v>
      </c>
      <c r="B248" s="98" t="s">
        <v>1701</v>
      </c>
      <c r="C248" s="98" t="str">
        <f>"C23090100"&amp;"  "&amp;"印刷服务"</f>
        <v>C23090100  印刷服务</v>
      </c>
      <c r="D248" s="125" t="s">
        <v>1505</v>
      </c>
      <c r="E248" s="130">
        <v>1</v>
      </c>
      <c r="F248" s="30"/>
      <c r="G248" s="48">
        <v>100000</v>
      </c>
      <c r="H248" s="48"/>
      <c r="I248" s="48"/>
      <c r="J248" s="48"/>
      <c r="K248" s="48"/>
      <c r="L248" s="48">
        <v>100000</v>
      </c>
      <c r="M248" s="48">
        <v>100000</v>
      </c>
      <c r="N248" s="48"/>
      <c r="O248" s="48"/>
      <c r="P248" s="48"/>
      <c r="Q248" s="48"/>
    </row>
    <row r="249" ht="21" customHeight="true" spans="1:17">
      <c r="A249" s="100" t="s">
        <v>908</v>
      </c>
      <c r="B249" s="101"/>
      <c r="C249" s="101"/>
      <c r="D249" s="101"/>
      <c r="E249" s="128"/>
      <c r="F249" s="129">
        <v>38284900</v>
      </c>
      <c r="G249" s="48">
        <v>237338561</v>
      </c>
      <c r="H249" s="48">
        <v>910200</v>
      </c>
      <c r="I249" s="48"/>
      <c r="J249" s="48"/>
      <c r="K249" s="48"/>
      <c r="L249" s="48">
        <v>236428361</v>
      </c>
      <c r="M249" s="48">
        <v>236428361</v>
      </c>
      <c r="N249" s="48"/>
      <c r="O249" s="48"/>
      <c r="P249" s="48"/>
      <c r="Q249" s="48"/>
    </row>
  </sheetData>
  <mergeCells count="17">
    <mergeCell ref="A1:Q1"/>
    <mergeCell ref="A2:Q2"/>
    <mergeCell ref="A3:E3"/>
    <mergeCell ref="G4:Q4"/>
    <mergeCell ref="L5:Q5"/>
    <mergeCell ref="A249:E24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N16"/>
  <sheetViews>
    <sheetView showZeros="0" tabSelected="1" workbookViewId="0">
      <selection activeCell="C27" sqref="C27"/>
    </sheetView>
  </sheetViews>
  <sheetFormatPr defaultColWidth="9.14166666666667" defaultRowHeight="14.25" customHeight="true"/>
  <cols>
    <col min="1" max="1" width="31.425" customWidth="true"/>
    <col min="2" max="2" width="21.7083333333333" customWidth="true"/>
    <col min="3" max="3" width="26.7083333333333" customWidth="true"/>
    <col min="4" max="14" width="16.6" customWidth="true"/>
  </cols>
  <sheetData>
    <row r="1" ht="13.5" customHeight="true" spans="1:14">
      <c r="A1" s="87" t="s">
        <v>1702</v>
      </c>
      <c r="B1" s="87"/>
      <c r="C1" s="87"/>
      <c r="D1" s="87"/>
      <c r="E1" s="87"/>
      <c r="F1" s="87"/>
      <c r="G1" s="87"/>
      <c r="H1" s="103"/>
      <c r="I1" s="87"/>
      <c r="J1" s="87"/>
      <c r="K1" s="87"/>
      <c r="L1" s="108"/>
      <c r="M1" s="103"/>
      <c r="N1" s="114"/>
    </row>
    <row r="2" ht="27.75" customHeight="true" spans="1:14">
      <c r="A2" s="80" t="s">
        <v>1703</v>
      </c>
      <c r="B2" s="88"/>
      <c r="C2" s="88"/>
      <c r="D2" s="88"/>
      <c r="E2" s="88"/>
      <c r="F2" s="88"/>
      <c r="G2" s="88"/>
      <c r="H2" s="104"/>
      <c r="I2" s="88"/>
      <c r="J2" s="88"/>
      <c r="K2" s="88"/>
      <c r="L2" s="109"/>
      <c r="M2" s="104"/>
      <c r="N2" s="88"/>
    </row>
    <row r="3" ht="18.75" customHeight="true" spans="1:14">
      <c r="A3" s="81" t="str">
        <f>"单位名称："&amp;"玉溪市卫生健康委员会"</f>
        <v>单位名称：玉溪市卫生健康委员会</v>
      </c>
      <c r="B3" s="82"/>
      <c r="C3" s="82"/>
      <c r="D3" s="82"/>
      <c r="E3" s="82"/>
      <c r="F3" s="82"/>
      <c r="G3" s="82"/>
      <c r="H3" s="105"/>
      <c r="I3" s="85"/>
      <c r="J3" s="85"/>
      <c r="K3" s="85"/>
      <c r="L3" s="86"/>
      <c r="M3" s="115"/>
      <c r="N3" s="116" t="s">
        <v>2</v>
      </c>
    </row>
    <row r="4" ht="15.75" customHeight="true" spans="1:14">
      <c r="A4" s="89" t="s">
        <v>1494</v>
      </c>
      <c r="B4" s="90" t="s">
        <v>1704</v>
      </c>
      <c r="C4" s="90" t="s">
        <v>1705</v>
      </c>
      <c r="D4" s="91" t="s">
        <v>204</v>
      </c>
      <c r="E4" s="91"/>
      <c r="F4" s="91"/>
      <c r="G4" s="91"/>
      <c r="H4" s="106"/>
      <c r="I4" s="91"/>
      <c r="J4" s="91"/>
      <c r="K4" s="91"/>
      <c r="L4" s="110"/>
      <c r="M4" s="106"/>
      <c r="N4" s="117"/>
    </row>
    <row r="5" ht="17.25" customHeight="true" spans="1:14">
      <c r="A5" s="92"/>
      <c r="B5" s="93"/>
      <c r="C5" s="93"/>
      <c r="D5" s="93" t="s">
        <v>30</v>
      </c>
      <c r="E5" s="93" t="s">
        <v>33</v>
      </c>
      <c r="F5" s="93" t="s">
        <v>1500</v>
      </c>
      <c r="G5" s="93" t="s">
        <v>1501</v>
      </c>
      <c r="H5" s="107" t="s">
        <v>1502</v>
      </c>
      <c r="I5" s="111" t="s">
        <v>1503</v>
      </c>
      <c r="J5" s="111"/>
      <c r="K5" s="111"/>
      <c r="L5" s="112"/>
      <c r="M5" s="118"/>
      <c r="N5" s="95"/>
    </row>
    <row r="6" ht="54" customHeight="true" spans="1:14">
      <c r="A6" s="94"/>
      <c r="B6" s="95"/>
      <c r="C6" s="95"/>
      <c r="D6" s="95"/>
      <c r="E6" s="95"/>
      <c r="F6" s="95"/>
      <c r="G6" s="95"/>
      <c r="H6" s="96"/>
      <c r="I6" s="95" t="s">
        <v>32</v>
      </c>
      <c r="J6" s="95" t="s">
        <v>39</v>
      </c>
      <c r="K6" s="95" t="s">
        <v>211</v>
      </c>
      <c r="L6" s="113" t="s">
        <v>41</v>
      </c>
      <c r="M6" s="96" t="s">
        <v>42</v>
      </c>
      <c r="N6" s="95" t="s">
        <v>43</v>
      </c>
    </row>
    <row r="7" ht="15" customHeight="true" spans="1:14">
      <c r="A7" s="94">
        <v>1</v>
      </c>
      <c r="B7" s="95">
        <v>2</v>
      </c>
      <c r="C7" s="95">
        <v>3</v>
      </c>
      <c r="D7" s="96">
        <v>4</v>
      </c>
      <c r="E7" s="96">
        <v>5</v>
      </c>
      <c r="F7" s="96">
        <v>6</v>
      </c>
      <c r="G7" s="96">
        <v>7</v>
      </c>
      <c r="H7" s="96">
        <v>8</v>
      </c>
      <c r="I7" s="96">
        <v>9</v>
      </c>
      <c r="J7" s="96">
        <v>10</v>
      </c>
      <c r="K7" s="96">
        <v>11</v>
      </c>
      <c r="L7" s="96">
        <v>12</v>
      </c>
      <c r="M7" s="96">
        <v>13</v>
      </c>
      <c r="N7" s="96">
        <v>14</v>
      </c>
    </row>
    <row r="8" ht="21" customHeight="true" spans="1:14">
      <c r="A8" s="97" t="s">
        <v>64</v>
      </c>
      <c r="B8" s="98"/>
      <c r="C8" s="98"/>
      <c r="D8" s="48">
        <v>391400</v>
      </c>
      <c r="E8" s="48">
        <v>391400</v>
      </c>
      <c r="F8" s="48"/>
      <c r="G8" s="48"/>
      <c r="H8" s="48"/>
      <c r="I8" s="48"/>
      <c r="J8" s="48"/>
      <c r="K8" s="48"/>
      <c r="L8" s="48"/>
      <c r="M8" s="48"/>
      <c r="N8" s="48"/>
    </row>
    <row r="9" ht="21" customHeight="true" spans="1:14">
      <c r="A9" s="99" t="s">
        <v>64</v>
      </c>
      <c r="B9" s="98"/>
      <c r="C9" s="98"/>
      <c r="D9" s="48">
        <v>391400</v>
      </c>
      <c r="E9" s="48">
        <v>391400</v>
      </c>
      <c r="F9" s="48"/>
      <c r="G9" s="48"/>
      <c r="H9" s="48"/>
      <c r="I9" s="48"/>
      <c r="J9" s="48"/>
      <c r="K9" s="48"/>
      <c r="L9" s="48"/>
      <c r="M9" s="48"/>
      <c r="N9" s="48"/>
    </row>
    <row r="10" ht="21" customHeight="true" spans="1:14">
      <c r="A10" s="97" t="str">
        <f>"    "&amp;"物业管理费"</f>
        <v>    物业管理费</v>
      </c>
      <c r="B10" s="98" t="s">
        <v>1706</v>
      </c>
      <c r="C10" s="98" t="s">
        <v>1707</v>
      </c>
      <c r="D10" s="48">
        <v>198000</v>
      </c>
      <c r="E10" s="48">
        <v>198000</v>
      </c>
      <c r="F10" s="48"/>
      <c r="G10" s="48"/>
      <c r="H10" s="48"/>
      <c r="I10" s="48"/>
      <c r="J10" s="48"/>
      <c r="K10" s="48"/>
      <c r="L10" s="48"/>
      <c r="M10" s="48"/>
      <c r="N10" s="48"/>
    </row>
    <row r="11" ht="21" customHeight="true" spans="1:14">
      <c r="A11" s="97" t="str">
        <f>"    "&amp;"一般公用经费"</f>
        <v>    一般公用经费</v>
      </c>
      <c r="B11" s="98" t="s">
        <v>1509</v>
      </c>
      <c r="C11" s="98" t="s">
        <v>1708</v>
      </c>
      <c r="D11" s="48">
        <v>59400</v>
      </c>
      <c r="E11" s="48">
        <v>59400</v>
      </c>
      <c r="F11" s="48"/>
      <c r="G11" s="48"/>
      <c r="H11" s="48"/>
      <c r="I11" s="48"/>
      <c r="J11" s="48"/>
      <c r="K11" s="48"/>
      <c r="L11" s="48"/>
      <c r="M11" s="48"/>
      <c r="N11" s="48"/>
    </row>
    <row r="12" ht="21" customHeight="true" spans="1:14">
      <c r="A12" s="97" t="str">
        <f>"    "&amp;"一般公用经费"</f>
        <v>    一般公用经费</v>
      </c>
      <c r="B12" s="98" t="s">
        <v>1709</v>
      </c>
      <c r="C12" s="98" t="s">
        <v>1710</v>
      </c>
      <c r="D12" s="48">
        <v>39000</v>
      </c>
      <c r="E12" s="48">
        <v>39000</v>
      </c>
      <c r="F12" s="48"/>
      <c r="G12" s="48"/>
      <c r="H12" s="48"/>
      <c r="I12" s="48"/>
      <c r="J12" s="48"/>
      <c r="K12" s="48"/>
      <c r="L12" s="48"/>
      <c r="M12" s="48"/>
      <c r="N12" s="48"/>
    </row>
    <row r="13" ht="21" customHeight="true" spans="1:14">
      <c r="A13" s="97" t="str">
        <f>"    "&amp;"一般公用经费"</f>
        <v>    一般公用经费</v>
      </c>
      <c r="B13" s="98" t="s">
        <v>1711</v>
      </c>
      <c r="C13" s="98" t="s">
        <v>1712</v>
      </c>
      <c r="D13" s="48">
        <v>35000</v>
      </c>
      <c r="E13" s="48">
        <v>35000</v>
      </c>
      <c r="F13" s="48"/>
      <c r="G13" s="48"/>
      <c r="H13" s="48"/>
      <c r="I13" s="48"/>
      <c r="J13" s="48"/>
      <c r="K13" s="48"/>
      <c r="L13" s="48"/>
      <c r="M13" s="48"/>
      <c r="N13" s="48"/>
    </row>
    <row r="14" ht="21" customHeight="true" spans="1:14">
      <c r="A14" s="97" t="str">
        <f>"    "&amp;"一般公用经费"</f>
        <v>    一般公用经费</v>
      </c>
      <c r="B14" s="98" t="s">
        <v>1511</v>
      </c>
      <c r="C14" s="98" t="s">
        <v>1713</v>
      </c>
      <c r="D14" s="48">
        <v>14100</v>
      </c>
      <c r="E14" s="48">
        <v>14100</v>
      </c>
      <c r="F14" s="48"/>
      <c r="G14" s="48"/>
      <c r="H14" s="48"/>
      <c r="I14" s="48"/>
      <c r="J14" s="48"/>
      <c r="K14" s="48"/>
      <c r="L14" s="48"/>
      <c r="M14" s="48"/>
      <c r="N14" s="48"/>
    </row>
    <row r="15" ht="21" customHeight="true" spans="1:14">
      <c r="A15" s="97" t="str">
        <f>"    "&amp;"一般公用经费"</f>
        <v>    一般公用经费</v>
      </c>
      <c r="B15" s="98" t="s">
        <v>1511</v>
      </c>
      <c r="C15" s="98" t="s">
        <v>1713</v>
      </c>
      <c r="D15" s="48">
        <v>45900</v>
      </c>
      <c r="E15" s="48">
        <v>45900</v>
      </c>
      <c r="F15" s="48"/>
      <c r="G15" s="48"/>
      <c r="H15" s="48"/>
      <c r="I15" s="48"/>
      <c r="J15" s="48"/>
      <c r="K15" s="48"/>
      <c r="L15" s="48"/>
      <c r="M15" s="48"/>
      <c r="N15" s="48"/>
    </row>
    <row r="16" ht="21" customHeight="true" spans="1:14">
      <c r="A16" s="100" t="s">
        <v>908</v>
      </c>
      <c r="B16" s="101"/>
      <c r="C16" s="102"/>
      <c r="D16" s="48">
        <v>391400</v>
      </c>
      <c r="E16" s="48">
        <v>391400</v>
      </c>
      <c r="F16" s="48"/>
      <c r="G16" s="48"/>
      <c r="H16" s="48"/>
      <c r="I16" s="48"/>
      <c r="J16" s="48"/>
      <c r="K16" s="48"/>
      <c r="L16" s="48"/>
      <c r="M16" s="48"/>
      <c r="N16" s="48"/>
    </row>
  </sheetData>
  <mergeCells count="14">
    <mergeCell ref="A1:N1"/>
    <mergeCell ref="A2:N2"/>
    <mergeCell ref="A3:C3"/>
    <mergeCell ref="D4:N4"/>
    <mergeCell ref="I5:N5"/>
    <mergeCell ref="A16:C16"/>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N18"/>
  <sheetViews>
    <sheetView showZeros="0" tabSelected="1" workbookViewId="0">
      <selection activeCell="C27" sqref="C27"/>
    </sheetView>
  </sheetViews>
  <sheetFormatPr defaultColWidth="9.14166666666667" defaultRowHeight="14.25" customHeight="true"/>
  <cols>
    <col min="1" max="1" width="55" customWidth="true"/>
    <col min="2" max="13" width="17.175" customWidth="true"/>
    <col min="14" max="14" width="17.0333333333333" customWidth="true"/>
  </cols>
  <sheetData>
    <row r="1" ht="13.5" customHeight="true" spans="1:14">
      <c r="A1" s="31" t="s">
        <v>1714</v>
      </c>
      <c r="B1" s="31"/>
      <c r="C1" s="31"/>
      <c r="D1" s="31"/>
      <c r="E1" s="31"/>
      <c r="F1" s="31"/>
      <c r="G1" s="31"/>
      <c r="H1" s="31"/>
      <c r="I1" s="31"/>
      <c r="J1" s="31"/>
      <c r="K1" s="31"/>
      <c r="L1" s="31"/>
      <c r="M1" s="31"/>
      <c r="N1" s="50"/>
    </row>
    <row r="2" ht="27.75" customHeight="true" spans="1:14">
      <c r="A2" s="80" t="s">
        <v>1715</v>
      </c>
      <c r="B2" s="33"/>
      <c r="C2" s="33"/>
      <c r="D2" s="33"/>
      <c r="E2" s="33"/>
      <c r="F2" s="33"/>
      <c r="G2" s="33"/>
      <c r="H2" s="33"/>
      <c r="I2" s="33"/>
      <c r="J2" s="33"/>
      <c r="K2" s="33"/>
      <c r="L2" s="33"/>
      <c r="M2" s="33"/>
      <c r="N2" s="33"/>
    </row>
    <row r="3" ht="18" customHeight="true" spans="1:14">
      <c r="A3" s="81" t="str">
        <f>"单位名称："&amp;"玉溪市卫生健康委员会"</f>
        <v>单位名称：玉溪市卫生健康委员会</v>
      </c>
      <c r="B3" s="82"/>
      <c r="C3" s="82"/>
      <c r="D3" s="83"/>
      <c r="E3" s="85"/>
      <c r="F3" s="85"/>
      <c r="G3" s="85"/>
      <c r="H3" s="85"/>
      <c r="I3" s="85"/>
      <c r="N3" s="86" t="s">
        <v>2</v>
      </c>
    </row>
    <row r="4" ht="19.5" customHeight="true" spans="1:14">
      <c r="A4" s="45" t="s">
        <v>1716</v>
      </c>
      <c r="B4" s="52" t="s">
        <v>204</v>
      </c>
      <c r="C4" s="53"/>
      <c r="D4" s="53"/>
      <c r="E4" s="52" t="s">
        <v>1717</v>
      </c>
      <c r="F4" s="53"/>
      <c r="G4" s="53"/>
      <c r="H4" s="53"/>
      <c r="I4" s="53"/>
      <c r="J4" s="53"/>
      <c r="K4" s="53"/>
      <c r="L4" s="53"/>
      <c r="M4" s="53"/>
      <c r="N4" s="53"/>
    </row>
    <row r="5" ht="40.5" customHeight="true" spans="1:14">
      <c r="A5" s="47"/>
      <c r="B5" s="46" t="s">
        <v>30</v>
      </c>
      <c r="C5" s="35" t="s">
        <v>33</v>
      </c>
      <c r="D5" s="84" t="s">
        <v>1718</v>
      </c>
      <c r="E5" s="40" t="s">
        <v>1719</v>
      </c>
      <c r="F5" s="40" t="s">
        <v>1720</v>
      </c>
      <c r="G5" s="40" t="s">
        <v>1721</v>
      </c>
      <c r="H5" s="40" t="s">
        <v>1722</v>
      </c>
      <c r="I5" s="40" t="s">
        <v>1723</v>
      </c>
      <c r="J5" s="40" t="s">
        <v>1724</v>
      </c>
      <c r="K5" s="40" t="s">
        <v>1725</v>
      </c>
      <c r="L5" s="40" t="s">
        <v>1726</v>
      </c>
      <c r="M5" s="40" t="s">
        <v>1727</v>
      </c>
      <c r="N5" s="40" t="s">
        <v>1728</v>
      </c>
    </row>
    <row r="6" ht="19.5" customHeight="true" spans="1:14">
      <c r="A6" s="40">
        <v>1</v>
      </c>
      <c r="B6" s="40">
        <v>2</v>
      </c>
      <c r="C6" s="40">
        <v>3</v>
      </c>
      <c r="D6" s="52">
        <v>4</v>
      </c>
      <c r="E6" s="40">
        <v>5</v>
      </c>
      <c r="F6" s="40">
        <v>6</v>
      </c>
      <c r="G6" s="40">
        <v>7</v>
      </c>
      <c r="H6" s="52">
        <v>8</v>
      </c>
      <c r="I6" s="40">
        <v>9</v>
      </c>
      <c r="J6" s="40">
        <v>10</v>
      </c>
      <c r="K6" s="40">
        <v>11</v>
      </c>
      <c r="L6" s="52">
        <v>12</v>
      </c>
      <c r="M6" s="40">
        <v>13</v>
      </c>
      <c r="N6" s="40">
        <v>14</v>
      </c>
    </row>
    <row r="7" ht="20.25" customHeight="true" spans="1:14">
      <c r="A7" s="41" t="s">
        <v>64</v>
      </c>
      <c r="B7" s="48">
        <v>30463868.5</v>
      </c>
      <c r="C7" s="48">
        <v>30463868.5</v>
      </c>
      <c r="D7" s="48"/>
      <c r="E7" s="48">
        <v>6697642.5</v>
      </c>
      <c r="F7" s="48">
        <v>3310534.5</v>
      </c>
      <c r="G7" s="48">
        <v>2295941.5</v>
      </c>
      <c r="H7" s="48">
        <v>3773795</v>
      </c>
      <c r="I7" s="48">
        <v>2992878</v>
      </c>
      <c r="J7" s="48">
        <v>2422021</v>
      </c>
      <c r="K7" s="48">
        <v>2595199</v>
      </c>
      <c r="L7" s="48">
        <v>3300070.5</v>
      </c>
      <c r="M7" s="48">
        <v>3075786.5</v>
      </c>
      <c r="N7" s="48"/>
    </row>
    <row r="8" ht="20.25" customHeight="true" spans="1:14">
      <c r="A8" s="41" t="s">
        <v>64</v>
      </c>
      <c r="B8" s="48">
        <v>30463868.5</v>
      </c>
      <c r="C8" s="48">
        <v>30463868.5</v>
      </c>
      <c r="D8" s="48"/>
      <c r="E8" s="48">
        <v>6697642.5</v>
      </c>
      <c r="F8" s="48">
        <v>3310534.5</v>
      </c>
      <c r="G8" s="48">
        <v>2295941.5</v>
      </c>
      <c r="H8" s="48">
        <v>3773795</v>
      </c>
      <c r="I8" s="48">
        <v>2992878</v>
      </c>
      <c r="J8" s="48">
        <v>2422021</v>
      </c>
      <c r="K8" s="48">
        <v>2595199</v>
      </c>
      <c r="L8" s="48">
        <v>3300070.5</v>
      </c>
      <c r="M8" s="48">
        <v>3075786.5</v>
      </c>
      <c r="N8" s="48"/>
    </row>
    <row r="9" ht="20.25" customHeight="true" spans="1:14">
      <c r="A9" s="41" t="str">
        <f>"      "&amp;"妇幼健康专项经费"</f>
        <v>      妇幼健康专项经费</v>
      </c>
      <c r="B9" s="48">
        <v>2975200</v>
      </c>
      <c r="C9" s="48">
        <v>2975200</v>
      </c>
      <c r="D9" s="48"/>
      <c r="E9" s="48">
        <v>571400</v>
      </c>
      <c r="F9" s="48">
        <v>347300</v>
      </c>
      <c r="G9" s="48">
        <v>287600</v>
      </c>
      <c r="H9" s="48">
        <v>370200</v>
      </c>
      <c r="I9" s="48">
        <v>304200</v>
      </c>
      <c r="J9" s="48">
        <v>239300</v>
      </c>
      <c r="K9" s="48">
        <v>219500</v>
      </c>
      <c r="L9" s="48">
        <v>373500</v>
      </c>
      <c r="M9" s="48">
        <v>262200</v>
      </c>
      <c r="N9" s="48"/>
    </row>
    <row r="10" ht="20.25" customHeight="true" spans="1:14">
      <c r="A10" s="41" t="str">
        <f>"      "&amp;"严重精神障碍患者监护人县区级专项经费"</f>
        <v>      严重精神障碍患者监护人县区级专项经费</v>
      </c>
      <c r="B10" s="48">
        <v>1141537.5</v>
      </c>
      <c r="C10" s="48">
        <v>1141537.5</v>
      </c>
      <c r="D10" s="48"/>
      <c r="E10" s="48">
        <v>123187.5</v>
      </c>
      <c r="F10" s="48">
        <v>166987.5</v>
      </c>
      <c r="G10" s="48">
        <v>126837.5</v>
      </c>
      <c r="H10" s="48">
        <v>178850</v>
      </c>
      <c r="I10" s="48">
        <v>156950</v>
      </c>
      <c r="J10" s="48">
        <v>107675</v>
      </c>
      <c r="K10" s="48">
        <v>91250</v>
      </c>
      <c r="L10" s="48">
        <v>83037.5</v>
      </c>
      <c r="M10" s="48">
        <v>106762.5</v>
      </c>
      <c r="N10" s="48"/>
    </row>
    <row r="11" ht="20.25" customHeight="true" spans="1:14">
      <c r="A11" s="41" t="str">
        <f>"      "&amp;"市对下基层卫生保障资金"</f>
        <v>      市对下基层卫生保障资金</v>
      </c>
      <c r="B11" s="48">
        <v>12085140</v>
      </c>
      <c r="C11" s="48">
        <v>12085140</v>
      </c>
      <c r="D11" s="48"/>
      <c r="E11" s="48">
        <v>2123220</v>
      </c>
      <c r="F11" s="48">
        <v>1248980</v>
      </c>
      <c r="G11" s="48">
        <v>837610</v>
      </c>
      <c r="H11" s="48">
        <v>1430880</v>
      </c>
      <c r="I11" s="48">
        <v>1390070</v>
      </c>
      <c r="J11" s="48">
        <v>886380</v>
      </c>
      <c r="K11" s="48">
        <v>1141320</v>
      </c>
      <c r="L11" s="48">
        <v>1579520</v>
      </c>
      <c r="M11" s="48">
        <v>1447160</v>
      </c>
      <c r="N11" s="48"/>
    </row>
    <row r="12" ht="20.25" customHeight="true" spans="1:14">
      <c r="A12" s="41" t="str">
        <f>"      "&amp;"市级家庭发展项目补助经费"</f>
        <v>      市级家庭发展项目补助经费</v>
      </c>
      <c r="B12" s="48">
        <v>5112400</v>
      </c>
      <c r="C12" s="48">
        <v>5112400</v>
      </c>
      <c r="D12" s="48"/>
      <c r="E12" s="48">
        <v>1347800</v>
      </c>
      <c r="F12" s="48">
        <v>543700</v>
      </c>
      <c r="G12" s="48">
        <v>294600</v>
      </c>
      <c r="H12" s="48">
        <v>721400</v>
      </c>
      <c r="I12" s="48">
        <v>338200</v>
      </c>
      <c r="J12" s="48">
        <v>478600</v>
      </c>
      <c r="K12" s="48">
        <v>467900</v>
      </c>
      <c r="L12" s="48">
        <v>493400</v>
      </c>
      <c r="M12" s="48">
        <v>426800</v>
      </c>
      <c r="N12" s="48"/>
    </row>
    <row r="13" ht="20.25" customHeight="true" spans="1:14">
      <c r="A13" s="41" t="str">
        <f>"      "&amp;"预防性体检县区专项资金"</f>
        <v>      预防性体检县区专项资金</v>
      </c>
      <c r="B13" s="48">
        <v>1248000</v>
      </c>
      <c r="C13" s="48">
        <v>1248000</v>
      </c>
      <c r="D13" s="48"/>
      <c r="E13" s="48">
        <v>1248000</v>
      </c>
      <c r="F13" s="48"/>
      <c r="G13" s="48"/>
      <c r="H13" s="48"/>
      <c r="I13" s="48"/>
      <c r="J13" s="48"/>
      <c r="K13" s="48"/>
      <c r="L13" s="48"/>
      <c r="M13" s="48"/>
      <c r="N13" s="48"/>
    </row>
    <row r="14" ht="20.25" customHeight="true" spans="1:14">
      <c r="A14" s="41" t="str">
        <f>"      "&amp;"市级人口均衡发展项目补助经费"</f>
        <v>      市级人口均衡发展项目补助经费</v>
      </c>
      <c r="B14" s="48">
        <v>4621500</v>
      </c>
      <c r="C14" s="48">
        <v>4621500</v>
      </c>
      <c r="D14" s="48"/>
      <c r="E14" s="48">
        <v>666000</v>
      </c>
      <c r="F14" s="48">
        <v>695800</v>
      </c>
      <c r="G14" s="48">
        <v>397100</v>
      </c>
      <c r="H14" s="48">
        <v>761700</v>
      </c>
      <c r="I14" s="48">
        <v>386600</v>
      </c>
      <c r="J14" s="48">
        <v>421000</v>
      </c>
      <c r="K14" s="48">
        <v>334000</v>
      </c>
      <c r="L14" s="48">
        <v>409100</v>
      </c>
      <c r="M14" s="48">
        <v>550200</v>
      </c>
      <c r="N14" s="48"/>
    </row>
    <row r="15" ht="20.25" customHeight="true" spans="1:14">
      <c r="A15" s="41" t="str">
        <f>"      "&amp;"玉溪市双价人乳头瘤病毒（HPV2）疫苗健康惠民工程市级补助经费"</f>
        <v>      玉溪市双价人乳头瘤病毒（HPV2）疫苗健康惠民工程市级补助经费</v>
      </c>
      <c r="B15" s="48">
        <v>1215091</v>
      </c>
      <c r="C15" s="48">
        <v>1215091</v>
      </c>
      <c r="D15" s="48"/>
      <c r="E15" s="48">
        <v>293035</v>
      </c>
      <c r="F15" s="48">
        <v>132767</v>
      </c>
      <c r="G15" s="48">
        <v>82194</v>
      </c>
      <c r="H15" s="48">
        <v>180765</v>
      </c>
      <c r="I15" s="48">
        <v>111858</v>
      </c>
      <c r="J15" s="48">
        <v>64066</v>
      </c>
      <c r="K15" s="48">
        <v>66229</v>
      </c>
      <c r="L15" s="48">
        <v>151513</v>
      </c>
      <c r="M15" s="48">
        <v>132664</v>
      </c>
      <c r="N15" s="48"/>
    </row>
    <row r="16" ht="20.25" customHeight="true" spans="1:14">
      <c r="A16" s="41" t="str">
        <f>"      "&amp;"特定项目社2025020专项经费"</f>
        <v>      特定项目社2025020专项经费</v>
      </c>
      <c r="B16" s="48">
        <v>1565000</v>
      </c>
      <c r="C16" s="48">
        <v>1565000</v>
      </c>
      <c r="D16" s="48"/>
      <c r="E16" s="48">
        <v>225000</v>
      </c>
      <c r="F16" s="48">
        <v>175000</v>
      </c>
      <c r="G16" s="48">
        <v>170000</v>
      </c>
      <c r="H16" s="48">
        <v>130000</v>
      </c>
      <c r="I16" s="48">
        <v>205000</v>
      </c>
      <c r="J16" s="48">
        <v>125000</v>
      </c>
      <c r="K16" s="48">
        <v>175000</v>
      </c>
      <c r="L16" s="48">
        <v>210000</v>
      </c>
      <c r="M16" s="48">
        <v>150000</v>
      </c>
      <c r="N16" s="48"/>
    </row>
    <row r="17" ht="20.25" customHeight="true" spans="1:14">
      <c r="A17" s="41" t="str">
        <f>"      "&amp;"2022年卫生健康系统人才项目（专家工作站（县区级5个））经费"</f>
        <v>      2022年卫生健康系统人才项目（专家工作站（县区级5个））经费</v>
      </c>
      <c r="B17" s="48">
        <v>500000</v>
      </c>
      <c r="C17" s="48">
        <v>500000</v>
      </c>
      <c r="D17" s="48"/>
      <c r="E17" s="48">
        <v>100000</v>
      </c>
      <c r="F17" s="48"/>
      <c r="G17" s="48">
        <v>100000</v>
      </c>
      <c r="H17" s="48"/>
      <c r="I17" s="48">
        <v>100000</v>
      </c>
      <c r="J17" s="48">
        <v>100000</v>
      </c>
      <c r="K17" s="48">
        <v>100000</v>
      </c>
      <c r="L17" s="48"/>
      <c r="M17" s="48"/>
      <c r="N17" s="48"/>
    </row>
    <row r="18" ht="20.25" customHeight="true" spans="1:14">
      <c r="A18" s="75" t="s">
        <v>30</v>
      </c>
      <c r="B18" s="48">
        <v>30463868.5</v>
      </c>
      <c r="C18" s="48">
        <v>30463868.5</v>
      </c>
      <c r="D18" s="48"/>
      <c r="E18" s="48">
        <v>6697642.5</v>
      </c>
      <c r="F18" s="48">
        <v>3310534.5</v>
      </c>
      <c r="G18" s="48">
        <v>2295941.5</v>
      </c>
      <c r="H18" s="48">
        <v>3773795</v>
      </c>
      <c r="I18" s="48">
        <v>2992878</v>
      </c>
      <c r="J18" s="48">
        <v>2422021</v>
      </c>
      <c r="K18" s="48">
        <v>2595199</v>
      </c>
      <c r="L18" s="48">
        <v>3300070.5</v>
      </c>
      <c r="M18" s="48">
        <v>3075786.5</v>
      </c>
      <c r="N18" s="48"/>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J174"/>
  <sheetViews>
    <sheetView showZeros="0" tabSelected="1" topLeftCell="A113" workbookViewId="0">
      <selection activeCell="C115" sqref="C115"/>
    </sheetView>
  </sheetViews>
  <sheetFormatPr defaultColWidth="9.14166666666667" defaultRowHeight="12" customHeight="true"/>
  <cols>
    <col min="1" max="1" width="34.2833333333333" customWidth="true"/>
    <col min="2" max="2" width="29" customWidth="true"/>
    <col min="3" max="3" width="17.175" customWidth="true"/>
    <col min="4" max="4" width="21.0333333333333" customWidth="true"/>
    <col min="5" max="5" width="23.575" customWidth="true"/>
    <col min="6" max="6" width="11.2833333333333" customWidth="true"/>
    <col min="7" max="7" width="10.3166666666667" customWidth="true"/>
    <col min="8" max="8" width="9.31666666666667" customWidth="true"/>
    <col min="9" max="9" width="13.425" customWidth="true"/>
    <col min="10" max="10" width="27.45" customWidth="true"/>
  </cols>
  <sheetData>
    <row r="1" customHeight="true" spans="1:10">
      <c r="A1" s="31" t="s">
        <v>1729</v>
      </c>
      <c r="B1" s="31"/>
      <c r="C1" s="31"/>
      <c r="D1" s="31"/>
      <c r="E1" s="31"/>
      <c r="F1" s="31"/>
      <c r="G1" s="31"/>
      <c r="H1" s="31"/>
      <c r="I1" s="31"/>
      <c r="J1" s="50"/>
    </row>
    <row r="2" ht="28.5" customHeight="true" spans="1:10">
      <c r="A2" s="66" t="s">
        <v>1730</v>
      </c>
      <c r="B2" s="67"/>
      <c r="C2" s="67"/>
      <c r="D2" s="67"/>
      <c r="E2" s="67"/>
      <c r="F2" s="74"/>
      <c r="G2" s="67"/>
      <c r="H2" s="74"/>
      <c r="I2" s="74"/>
      <c r="J2" s="67"/>
    </row>
    <row r="3" ht="15" customHeight="true" spans="1:1">
      <c r="A3" s="4" t="str">
        <f>"单位名称："&amp;"玉溪市卫生健康委员会"</f>
        <v>单位名称：玉溪市卫生健康委员会</v>
      </c>
    </row>
    <row r="4" ht="14.25" customHeight="true" spans="1:10">
      <c r="A4" s="68" t="s">
        <v>911</v>
      </c>
      <c r="B4" s="68" t="s">
        <v>912</v>
      </c>
      <c r="C4" s="68" t="s">
        <v>913</v>
      </c>
      <c r="D4" s="68" t="s">
        <v>914</v>
      </c>
      <c r="E4" s="68" t="s">
        <v>915</v>
      </c>
      <c r="F4" s="55" t="s">
        <v>916</v>
      </c>
      <c r="G4" s="68" t="s">
        <v>917</v>
      </c>
      <c r="H4" s="55" t="s">
        <v>918</v>
      </c>
      <c r="I4" s="55" t="s">
        <v>919</v>
      </c>
      <c r="J4" s="68" t="s">
        <v>920</v>
      </c>
    </row>
    <row r="5" ht="14.25" customHeight="true" spans="1:10">
      <c r="A5" s="68">
        <v>1</v>
      </c>
      <c r="B5" s="68">
        <v>2</v>
      </c>
      <c r="C5" s="68">
        <v>3</v>
      </c>
      <c r="D5" s="68">
        <v>4</v>
      </c>
      <c r="E5" s="68">
        <v>5</v>
      </c>
      <c r="F5" s="55">
        <v>6</v>
      </c>
      <c r="G5" s="68">
        <v>7</v>
      </c>
      <c r="H5" s="55">
        <v>8</v>
      </c>
      <c r="I5" s="55">
        <v>9</v>
      </c>
      <c r="J5" s="68">
        <v>10</v>
      </c>
    </row>
    <row r="6" ht="15" customHeight="true" spans="1:10">
      <c r="A6" s="18" t="s">
        <v>64</v>
      </c>
      <c r="B6" s="69"/>
      <c r="C6" s="69"/>
      <c r="D6" s="69"/>
      <c r="E6" s="75"/>
      <c r="F6" s="76"/>
      <c r="G6" s="75"/>
      <c r="H6" s="76"/>
      <c r="I6" s="76"/>
      <c r="J6" s="75"/>
    </row>
    <row r="7" ht="33.75" customHeight="true" spans="1:10">
      <c r="A7" s="70" t="s">
        <v>64</v>
      </c>
      <c r="B7" s="18"/>
      <c r="C7" s="18"/>
      <c r="D7" s="18"/>
      <c r="E7" s="18"/>
      <c r="F7" s="18"/>
      <c r="G7" s="41"/>
      <c r="H7" s="18"/>
      <c r="I7" s="18"/>
      <c r="J7" s="18"/>
    </row>
    <row r="8" ht="57" customHeight="true" spans="1:10">
      <c r="A8" s="18" t="s">
        <v>579</v>
      </c>
      <c r="B8" s="71" t="s">
        <v>921</v>
      </c>
      <c r="C8" s="18" t="s">
        <v>922</v>
      </c>
      <c r="D8" s="18" t="s">
        <v>923</v>
      </c>
      <c r="E8" s="18" t="s">
        <v>924</v>
      </c>
      <c r="F8" s="18" t="s">
        <v>925</v>
      </c>
      <c r="G8" s="41" t="s">
        <v>926</v>
      </c>
      <c r="H8" s="18" t="s">
        <v>927</v>
      </c>
      <c r="I8" s="18" t="s">
        <v>928</v>
      </c>
      <c r="J8" s="18" t="s">
        <v>929</v>
      </c>
    </row>
    <row r="9" ht="57" customHeight="true" spans="1:10">
      <c r="A9" s="18" t="s">
        <v>579</v>
      </c>
      <c r="B9" s="72"/>
      <c r="C9" s="18" t="s">
        <v>922</v>
      </c>
      <c r="D9" s="18" t="s">
        <v>923</v>
      </c>
      <c r="E9" s="18" t="s">
        <v>930</v>
      </c>
      <c r="F9" s="18" t="s">
        <v>925</v>
      </c>
      <c r="G9" s="41" t="s">
        <v>931</v>
      </c>
      <c r="H9" s="18" t="s">
        <v>932</v>
      </c>
      <c r="I9" s="18" t="s">
        <v>928</v>
      </c>
      <c r="J9" s="18" t="s">
        <v>929</v>
      </c>
    </row>
    <row r="10" ht="57" customHeight="true" spans="1:10">
      <c r="A10" s="18" t="s">
        <v>579</v>
      </c>
      <c r="B10" s="72"/>
      <c r="C10" s="18" t="s">
        <v>922</v>
      </c>
      <c r="D10" s="18" t="s">
        <v>933</v>
      </c>
      <c r="E10" s="18" t="s">
        <v>934</v>
      </c>
      <c r="F10" s="18" t="s">
        <v>925</v>
      </c>
      <c r="G10" s="41" t="s">
        <v>935</v>
      </c>
      <c r="H10" s="18" t="s">
        <v>927</v>
      </c>
      <c r="I10" s="18" t="s">
        <v>928</v>
      </c>
      <c r="J10" s="18" t="s">
        <v>929</v>
      </c>
    </row>
    <row r="11" ht="57" customHeight="true" spans="1:10">
      <c r="A11" s="18" t="s">
        <v>579</v>
      </c>
      <c r="B11" s="72"/>
      <c r="C11" s="18" t="s">
        <v>922</v>
      </c>
      <c r="D11" s="18" t="s">
        <v>936</v>
      </c>
      <c r="E11" s="18" t="s">
        <v>937</v>
      </c>
      <c r="F11" s="18" t="s">
        <v>938</v>
      </c>
      <c r="G11" s="41" t="s">
        <v>939</v>
      </c>
      <c r="H11" s="18" t="s">
        <v>927</v>
      </c>
      <c r="I11" s="18" t="s">
        <v>928</v>
      </c>
      <c r="J11" s="18" t="s">
        <v>929</v>
      </c>
    </row>
    <row r="12" ht="57" customHeight="true" spans="1:10">
      <c r="A12" s="18" t="s">
        <v>579</v>
      </c>
      <c r="B12" s="72"/>
      <c r="C12" s="18" t="s">
        <v>940</v>
      </c>
      <c r="D12" s="18" t="s">
        <v>941</v>
      </c>
      <c r="E12" s="18" t="s">
        <v>942</v>
      </c>
      <c r="F12" s="18" t="s">
        <v>925</v>
      </c>
      <c r="G12" s="41" t="s">
        <v>943</v>
      </c>
      <c r="H12" s="18" t="s">
        <v>927</v>
      </c>
      <c r="I12" s="18" t="s">
        <v>928</v>
      </c>
      <c r="J12" s="18" t="s">
        <v>929</v>
      </c>
    </row>
    <row r="13" ht="57" customHeight="true" spans="1:10">
      <c r="A13" s="18" t="s">
        <v>579</v>
      </c>
      <c r="B13" s="73"/>
      <c r="C13" s="18" t="s">
        <v>944</v>
      </c>
      <c r="D13" s="18" t="s">
        <v>945</v>
      </c>
      <c r="E13" s="18" t="s">
        <v>946</v>
      </c>
      <c r="F13" s="18" t="s">
        <v>925</v>
      </c>
      <c r="G13" s="41" t="s">
        <v>943</v>
      </c>
      <c r="H13" s="18" t="s">
        <v>927</v>
      </c>
      <c r="I13" s="18" t="s">
        <v>928</v>
      </c>
      <c r="J13" s="18" t="s">
        <v>929</v>
      </c>
    </row>
    <row r="14" ht="33.75" customHeight="true" spans="1:10">
      <c r="A14" s="18" t="s">
        <v>572</v>
      </c>
      <c r="B14" s="18" t="s">
        <v>947</v>
      </c>
      <c r="C14" s="18" t="s">
        <v>922</v>
      </c>
      <c r="D14" s="18" t="s">
        <v>923</v>
      </c>
      <c r="E14" s="18" t="s">
        <v>948</v>
      </c>
      <c r="F14" s="18" t="s">
        <v>938</v>
      </c>
      <c r="G14" s="41" t="s">
        <v>939</v>
      </c>
      <c r="H14" s="18" t="s">
        <v>927</v>
      </c>
      <c r="I14" s="18" t="s">
        <v>928</v>
      </c>
      <c r="J14" s="18" t="s">
        <v>929</v>
      </c>
    </row>
    <row r="15" ht="33.75" customHeight="true" spans="1:10">
      <c r="A15" s="18" t="s">
        <v>572</v>
      </c>
      <c r="B15" s="18" t="s">
        <v>947</v>
      </c>
      <c r="C15" s="18" t="s">
        <v>922</v>
      </c>
      <c r="D15" s="18" t="s">
        <v>923</v>
      </c>
      <c r="E15" s="18" t="s">
        <v>949</v>
      </c>
      <c r="F15" s="18" t="s">
        <v>938</v>
      </c>
      <c r="G15" s="41" t="s">
        <v>939</v>
      </c>
      <c r="H15" s="18" t="s">
        <v>927</v>
      </c>
      <c r="I15" s="18" t="s">
        <v>928</v>
      </c>
      <c r="J15" s="18" t="s">
        <v>929</v>
      </c>
    </row>
    <row r="16" ht="33.75" customHeight="true" spans="1:10">
      <c r="A16" s="18" t="s">
        <v>572</v>
      </c>
      <c r="B16" s="18" t="s">
        <v>947</v>
      </c>
      <c r="C16" s="18" t="s">
        <v>922</v>
      </c>
      <c r="D16" s="18" t="s">
        <v>923</v>
      </c>
      <c r="E16" s="18" t="s">
        <v>950</v>
      </c>
      <c r="F16" s="18" t="s">
        <v>925</v>
      </c>
      <c r="G16" s="41" t="s">
        <v>951</v>
      </c>
      <c r="H16" s="18" t="s">
        <v>952</v>
      </c>
      <c r="I16" s="18" t="s">
        <v>928</v>
      </c>
      <c r="J16" s="18" t="s">
        <v>929</v>
      </c>
    </row>
    <row r="17" ht="33.75" customHeight="true" spans="1:10">
      <c r="A17" s="18" t="s">
        <v>572</v>
      </c>
      <c r="B17" s="18" t="s">
        <v>947</v>
      </c>
      <c r="C17" s="18" t="s">
        <v>940</v>
      </c>
      <c r="D17" s="18" t="s">
        <v>953</v>
      </c>
      <c r="E17" s="18" t="s">
        <v>954</v>
      </c>
      <c r="F17" s="18" t="s">
        <v>938</v>
      </c>
      <c r="G17" s="41" t="s">
        <v>955</v>
      </c>
      <c r="H17" s="18"/>
      <c r="I17" s="18" t="s">
        <v>956</v>
      </c>
      <c r="J17" s="18" t="s">
        <v>929</v>
      </c>
    </row>
    <row r="18" ht="33.75" customHeight="true" spans="1:10">
      <c r="A18" s="18" t="s">
        <v>572</v>
      </c>
      <c r="B18" s="18" t="s">
        <v>947</v>
      </c>
      <c r="C18" s="18" t="s">
        <v>940</v>
      </c>
      <c r="D18" s="18" t="s">
        <v>957</v>
      </c>
      <c r="E18" s="18" t="s">
        <v>958</v>
      </c>
      <c r="F18" s="18" t="s">
        <v>938</v>
      </c>
      <c r="G18" s="41" t="s">
        <v>959</v>
      </c>
      <c r="H18" s="18"/>
      <c r="I18" s="18" t="s">
        <v>956</v>
      </c>
      <c r="J18" s="18" t="s">
        <v>929</v>
      </c>
    </row>
    <row r="19" ht="33.75" customHeight="true" spans="1:10">
      <c r="A19" s="18" t="s">
        <v>572</v>
      </c>
      <c r="B19" s="18" t="s">
        <v>947</v>
      </c>
      <c r="C19" s="18" t="s">
        <v>940</v>
      </c>
      <c r="D19" s="18" t="s">
        <v>957</v>
      </c>
      <c r="E19" s="18" t="s">
        <v>960</v>
      </c>
      <c r="F19" s="18" t="s">
        <v>938</v>
      </c>
      <c r="G19" s="41" t="s">
        <v>961</v>
      </c>
      <c r="H19" s="18"/>
      <c r="I19" s="18" t="s">
        <v>956</v>
      </c>
      <c r="J19" s="18" t="s">
        <v>929</v>
      </c>
    </row>
    <row r="20" ht="33.75" customHeight="true" spans="1:10">
      <c r="A20" s="18" t="s">
        <v>572</v>
      </c>
      <c r="B20" s="18" t="s">
        <v>947</v>
      </c>
      <c r="C20" s="18" t="s">
        <v>944</v>
      </c>
      <c r="D20" s="18" t="s">
        <v>945</v>
      </c>
      <c r="E20" s="18" t="s">
        <v>962</v>
      </c>
      <c r="F20" s="18" t="s">
        <v>925</v>
      </c>
      <c r="G20" s="41" t="s">
        <v>963</v>
      </c>
      <c r="H20" s="18" t="s">
        <v>927</v>
      </c>
      <c r="I20" s="18" t="s">
        <v>928</v>
      </c>
      <c r="J20" s="18" t="s">
        <v>929</v>
      </c>
    </row>
    <row r="21" ht="33.75" customHeight="true" spans="1:10">
      <c r="A21" s="18" t="s">
        <v>564</v>
      </c>
      <c r="B21" s="18" t="s">
        <v>993</v>
      </c>
      <c r="C21" s="18" t="s">
        <v>922</v>
      </c>
      <c r="D21" s="18" t="s">
        <v>923</v>
      </c>
      <c r="E21" s="18" t="s">
        <v>994</v>
      </c>
      <c r="F21" s="18" t="s">
        <v>925</v>
      </c>
      <c r="G21" s="41" t="s">
        <v>48</v>
      </c>
      <c r="H21" s="18" t="s">
        <v>995</v>
      </c>
      <c r="I21" s="18" t="s">
        <v>928</v>
      </c>
      <c r="J21" s="18" t="s">
        <v>996</v>
      </c>
    </row>
    <row r="22" ht="33.75" customHeight="true" spans="1:10">
      <c r="A22" s="18" t="s">
        <v>564</v>
      </c>
      <c r="B22" s="18" t="s">
        <v>993</v>
      </c>
      <c r="C22" s="18" t="s">
        <v>922</v>
      </c>
      <c r="D22" s="18" t="s">
        <v>923</v>
      </c>
      <c r="E22" s="18" t="s">
        <v>997</v>
      </c>
      <c r="F22" s="18" t="s">
        <v>938</v>
      </c>
      <c r="G22" s="41" t="s">
        <v>52</v>
      </c>
      <c r="H22" s="18" t="s">
        <v>998</v>
      </c>
      <c r="I22" s="18" t="s">
        <v>928</v>
      </c>
      <c r="J22" s="18" t="s">
        <v>999</v>
      </c>
    </row>
    <row r="23" ht="33.75" customHeight="true" spans="1:10">
      <c r="A23" s="18" t="s">
        <v>564</v>
      </c>
      <c r="B23" s="18" t="s">
        <v>993</v>
      </c>
      <c r="C23" s="18" t="s">
        <v>922</v>
      </c>
      <c r="D23" s="18" t="s">
        <v>923</v>
      </c>
      <c r="E23" s="18" t="s">
        <v>1000</v>
      </c>
      <c r="F23" s="18" t="s">
        <v>925</v>
      </c>
      <c r="G23" s="41" t="s">
        <v>1001</v>
      </c>
      <c r="H23" s="18" t="s">
        <v>932</v>
      </c>
      <c r="I23" s="18" t="s">
        <v>928</v>
      </c>
      <c r="J23" s="18" t="s">
        <v>1002</v>
      </c>
    </row>
    <row r="24" ht="33.75" customHeight="true" spans="1:10">
      <c r="A24" s="18" t="s">
        <v>564</v>
      </c>
      <c r="B24" s="18" t="s">
        <v>993</v>
      </c>
      <c r="C24" s="18" t="s">
        <v>922</v>
      </c>
      <c r="D24" s="18" t="s">
        <v>933</v>
      </c>
      <c r="E24" s="18" t="s">
        <v>1003</v>
      </c>
      <c r="F24" s="18" t="s">
        <v>925</v>
      </c>
      <c r="G24" s="41" t="s">
        <v>939</v>
      </c>
      <c r="H24" s="18" t="s">
        <v>927</v>
      </c>
      <c r="I24" s="18" t="s">
        <v>928</v>
      </c>
      <c r="J24" s="18" t="s">
        <v>1004</v>
      </c>
    </row>
    <row r="25" ht="33.75" customHeight="true" spans="1:10">
      <c r="A25" s="18" t="s">
        <v>564</v>
      </c>
      <c r="B25" s="18" t="s">
        <v>993</v>
      </c>
      <c r="C25" s="18" t="s">
        <v>922</v>
      </c>
      <c r="D25" s="18" t="s">
        <v>933</v>
      </c>
      <c r="E25" s="18" t="s">
        <v>1005</v>
      </c>
      <c r="F25" s="18" t="s">
        <v>925</v>
      </c>
      <c r="G25" s="41" t="s">
        <v>926</v>
      </c>
      <c r="H25" s="18" t="s">
        <v>927</v>
      </c>
      <c r="I25" s="18" t="s">
        <v>928</v>
      </c>
      <c r="J25" s="18" t="s">
        <v>1006</v>
      </c>
    </row>
    <row r="26" ht="33.75" customHeight="true" spans="1:10">
      <c r="A26" s="18" t="s">
        <v>564</v>
      </c>
      <c r="B26" s="18" t="s">
        <v>993</v>
      </c>
      <c r="C26" s="18" t="s">
        <v>922</v>
      </c>
      <c r="D26" s="18" t="s">
        <v>933</v>
      </c>
      <c r="E26" s="18" t="s">
        <v>1007</v>
      </c>
      <c r="F26" s="18" t="s">
        <v>925</v>
      </c>
      <c r="G26" s="41" t="s">
        <v>939</v>
      </c>
      <c r="H26" s="18" t="s">
        <v>927</v>
      </c>
      <c r="I26" s="18" t="s">
        <v>928</v>
      </c>
      <c r="J26" s="18" t="s">
        <v>1008</v>
      </c>
    </row>
    <row r="27" ht="33.75" customHeight="true" spans="1:10">
      <c r="A27" s="18" t="s">
        <v>564</v>
      </c>
      <c r="B27" s="18" t="s">
        <v>993</v>
      </c>
      <c r="C27" s="18" t="s">
        <v>922</v>
      </c>
      <c r="D27" s="18" t="s">
        <v>933</v>
      </c>
      <c r="E27" s="18" t="s">
        <v>1009</v>
      </c>
      <c r="F27" s="18" t="s">
        <v>925</v>
      </c>
      <c r="G27" s="41" t="s">
        <v>1010</v>
      </c>
      <c r="H27" s="18" t="s">
        <v>1011</v>
      </c>
      <c r="I27" s="18" t="s">
        <v>928</v>
      </c>
      <c r="J27" s="18" t="s">
        <v>1012</v>
      </c>
    </row>
    <row r="28" ht="33.75" customHeight="true" spans="1:10">
      <c r="A28" s="18" t="s">
        <v>564</v>
      </c>
      <c r="B28" s="18" t="s">
        <v>993</v>
      </c>
      <c r="C28" s="18" t="s">
        <v>922</v>
      </c>
      <c r="D28" s="18" t="s">
        <v>933</v>
      </c>
      <c r="E28" s="18" t="s">
        <v>1013</v>
      </c>
      <c r="F28" s="18" t="s">
        <v>925</v>
      </c>
      <c r="G28" s="41" t="s">
        <v>1014</v>
      </c>
      <c r="H28" s="18" t="s">
        <v>1011</v>
      </c>
      <c r="I28" s="18" t="s">
        <v>928</v>
      </c>
      <c r="J28" s="18" t="s">
        <v>1015</v>
      </c>
    </row>
    <row r="29" ht="33.75" customHeight="true" spans="1:10">
      <c r="A29" s="18" t="s">
        <v>564</v>
      </c>
      <c r="B29" s="18" t="s">
        <v>993</v>
      </c>
      <c r="C29" s="18" t="s">
        <v>940</v>
      </c>
      <c r="D29" s="18" t="s">
        <v>941</v>
      </c>
      <c r="E29" s="18" t="s">
        <v>1016</v>
      </c>
      <c r="F29" s="18" t="s">
        <v>925</v>
      </c>
      <c r="G29" s="41" t="s">
        <v>1017</v>
      </c>
      <c r="H29" s="18" t="s">
        <v>927</v>
      </c>
      <c r="I29" s="18" t="s">
        <v>956</v>
      </c>
      <c r="J29" s="18" t="s">
        <v>1018</v>
      </c>
    </row>
    <row r="30" ht="33.75" customHeight="true" spans="1:10">
      <c r="A30" s="18" t="s">
        <v>564</v>
      </c>
      <c r="B30" s="18" t="s">
        <v>993</v>
      </c>
      <c r="C30" s="18" t="s">
        <v>940</v>
      </c>
      <c r="D30" s="18" t="s">
        <v>941</v>
      </c>
      <c r="E30" s="18" t="s">
        <v>1019</v>
      </c>
      <c r="F30" s="18" t="s">
        <v>925</v>
      </c>
      <c r="G30" s="41" t="s">
        <v>1020</v>
      </c>
      <c r="H30" s="18"/>
      <c r="I30" s="18" t="s">
        <v>956</v>
      </c>
      <c r="J30" s="18" t="s">
        <v>1021</v>
      </c>
    </row>
    <row r="31" ht="33.75" customHeight="true" spans="1:10">
      <c r="A31" s="18" t="s">
        <v>564</v>
      </c>
      <c r="B31" s="18" t="s">
        <v>993</v>
      </c>
      <c r="C31" s="18" t="s">
        <v>944</v>
      </c>
      <c r="D31" s="18" t="s">
        <v>945</v>
      </c>
      <c r="E31" s="18" t="s">
        <v>1022</v>
      </c>
      <c r="F31" s="18" t="s">
        <v>925</v>
      </c>
      <c r="G31" s="41" t="s">
        <v>943</v>
      </c>
      <c r="H31" s="18" t="s">
        <v>927</v>
      </c>
      <c r="I31" s="18" t="s">
        <v>928</v>
      </c>
      <c r="J31" s="18" t="s">
        <v>1023</v>
      </c>
    </row>
    <row r="32" ht="33.75" customHeight="true" spans="1:10">
      <c r="A32" s="18" t="s">
        <v>558</v>
      </c>
      <c r="B32" s="18" t="s">
        <v>1024</v>
      </c>
      <c r="C32" s="18" t="s">
        <v>922</v>
      </c>
      <c r="D32" s="18" t="s">
        <v>923</v>
      </c>
      <c r="E32" s="18" t="s">
        <v>1025</v>
      </c>
      <c r="F32" s="18" t="s">
        <v>938</v>
      </c>
      <c r="G32" s="41" t="s">
        <v>1026</v>
      </c>
      <c r="H32" s="18" t="s">
        <v>952</v>
      </c>
      <c r="I32" s="18" t="s">
        <v>928</v>
      </c>
      <c r="J32" s="18" t="s">
        <v>1027</v>
      </c>
    </row>
    <row r="33" ht="33.75" customHeight="true" spans="1:10">
      <c r="A33" s="18" t="s">
        <v>558</v>
      </c>
      <c r="B33" s="18" t="s">
        <v>1024</v>
      </c>
      <c r="C33" s="18" t="s">
        <v>922</v>
      </c>
      <c r="D33" s="18" t="s">
        <v>923</v>
      </c>
      <c r="E33" s="18" t="s">
        <v>1028</v>
      </c>
      <c r="F33" s="18" t="s">
        <v>938</v>
      </c>
      <c r="G33" s="41" t="s">
        <v>1029</v>
      </c>
      <c r="H33" s="18" t="s">
        <v>1030</v>
      </c>
      <c r="I33" s="18" t="s">
        <v>956</v>
      </c>
      <c r="J33" s="18" t="s">
        <v>1031</v>
      </c>
    </row>
    <row r="34" ht="33.75" customHeight="true" spans="1:10">
      <c r="A34" s="18" t="s">
        <v>558</v>
      </c>
      <c r="B34" s="18" t="s">
        <v>1024</v>
      </c>
      <c r="C34" s="18" t="s">
        <v>922</v>
      </c>
      <c r="D34" s="18" t="s">
        <v>933</v>
      </c>
      <c r="E34" s="18" t="s">
        <v>1032</v>
      </c>
      <c r="F34" s="18" t="s">
        <v>925</v>
      </c>
      <c r="G34" s="41" t="s">
        <v>935</v>
      </c>
      <c r="H34" s="18" t="s">
        <v>927</v>
      </c>
      <c r="I34" s="18" t="s">
        <v>928</v>
      </c>
      <c r="J34" s="18" t="s">
        <v>1033</v>
      </c>
    </row>
    <row r="35" ht="33.75" customHeight="true" spans="1:10">
      <c r="A35" s="18" t="s">
        <v>558</v>
      </c>
      <c r="B35" s="18" t="s">
        <v>1024</v>
      </c>
      <c r="C35" s="18" t="s">
        <v>922</v>
      </c>
      <c r="D35" s="18" t="s">
        <v>936</v>
      </c>
      <c r="E35" s="18" t="s">
        <v>1034</v>
      </c>
      <c r="F35" s="18" t="s">
        <v>985</v>
      </c>
      <c r="G35" s="41" t="s">
        <v>1035</v>
      </c>
      <c r="H35" s="18" t="s">
        <v>1036</v>
      </c>
      <c r="I35" s="18" t="s">
        <v>928</v>
      </c>
      <c r="J35" s="18" t="s">
        <v>1037</v>
      </c>
    </row>
    <row r="36" ht="33.75" customHeight="true" spans="1:10">
      <c r="A36" s="18" t="s">
        <v>558</v>
      </c>
      <c r="B36" s="18" t="s">
        <v>1024</v>
      </c>
      <c r="C36" s="18" t="s">
        <v>940</v>
      </c>
      <c r="D36" s="18" t="s">
        <v>953</v>
      </c>
      <c r="E36" s="18" t="s">
        <v>1038</v>
      </c>
      <c r="F36" s="18" t="s">
        <v>938</v>
      </c>
      <c r="G36" s="41" t="s">
        <v>939</v>
      </c>
      <c r="H36" s="18" t="s">
        <v>927</v>
      </c>
      <c r="I36" s="18" t="s">
        <v>928</v>
      </c>
      <c r="J36" s="18" t="s">
        <v>1039</v>
      </c>
    </row>
    <row r="37" ht="33.75" customHeight="true" spans="1:10">
      <c r="A37" s="18" t="s">
        <v>558</v>
      </c>
      <c r="B37" s="18" t="s">
        <v>1024</v>
      </c>
      <c r="C37" s="18" t="s">
        <v>940</v>
      </c>
      <c r="D37" s="18" t="s">
        <v>941</v>
      </c>
      <c r="E37" s="18" t="s">
        <v>1040</v>
      </c>
      <c r="F37" s="18" t="s">
        <v>938</v>
      </c>
      <c r="G37" s="41" t="s">
        <v>939</v>
      </c>
      <c r="H37" s="18" t="s">
        <v>927</v>
      </c>
      <c r="I37" s="18" t="s">
        <v>928</v>
      </c>
      <c r="J37" s="18" t="s">
        <v>1041</v>
      </c>
    </row>
    <row r="38" ht="33.75" customHeight="true" spans="1:10">
      <c r="A38" s="18" t="s">
        <v>558</v>
      </c>
      <c r="B38" s="18" t="s">
        <v>1024</v>
      </c>
      <c r="C38" s="18" t="s">
        <v>944</v>
      </c>
      <c r="D38" s="18" t="s">
        <v>945</v>
      </c>
      <c r="E38" s="18" t="s">
        <v>1042</v>
      </c>
      <c r="F38" s="18" t="s">
        <v>925</v>
      </c>
      <c r="G38" s="41" t="s">
        <v>963</v>
      </c>
      <c r="H38" s="18" t="s">
        <v>927</v>
      </c>
      <c r="I38" s="18" t="s">
        <v>928</v>
      </c>
      <c r="J38" s="18" t="s">
        <v>1043</v>
      </c>
    </row>
    <row r="39" ht="33.75" customHeight="true" spans="1:10">
      <c r="A39" s="18" t="s">
        <v>619</v>
      </c>
      <c r="B39" s="18" t="s">
        <v>1056</v>
      </c>
      <c r="C39" s="18" t="s">
        <v>922</v>
      </c>
      <c r="D39" s="18" t="s">
        <v>923</v>
      </c>
      <c r="E39" s="18" t="s">
        <v>994</v>
      </c>
      <c r="F39" s="18" t="s">
        <v>925</v>
      </c>
      <c r="G39" s="41" t="s">
        <v>51</v>
      </c>
      <c r="H39" s="18" t="s">
        <v>927</v>
      </c>
      <c r="I39" s="18" t="s">
        <v>928</v>
      </c>
      <c r="J39" s="18" t="s">
        <v>929</v>
      </c>
    </row>
    <row r="40" ht="33.75" customHeight="true" spans="1:10">
      <c r="A40" s="18" t="s">
        <v>619</v>
      </c>
      <c r="B40" s="18" t="s">
        <v>1056</v>
      </c>
      <c r="C40" s="18" t="s">
        <v>922</v>
      </c>
      <c r="D40" s="18" t="s">
        <v>923</v>
      </c>
      <c r="E40" s="18" t="s">
        <v>1057</v>
      </c>
      <c r="F40" s="18" t="s">
        <v>938</v>
      </c>
      <c r="G40" s="41" t="s">
        <v>1058</v>
      </c>
      <c r="H40" s="18" t="s">
        <v>1059</v>
      </c>
      <c r="I40" s="18" t="s">
        <v>928</v>
      </c>
      <c r="J40" s="18" t="s">
        <v>929</v>
      </c>
    </row>
    <row r="41" ht="33.75" customHeight="true" spans="1:10">
      <c r="A41" s="18" t="s">
        <v>619</v>
      </c>
      <c r="B41" s="18" t="s">
        <v>1056</v>
      </c>
      <c r="C41" s="18" t="s">
        <v>922</v>
      </c>
      <c r="D41" s="18" t="s">
        <v>923</v>
      </c>
      <c r="E41" s="18" t="s">
        <v>1060</v>
      </c>
      <c r="F41" s="18" t="s">
        <v>938</v>
      </c>
      <c r="G41" s="41" t="s">
        <v>1061</v>
      </c>
      <c r="H41" s="18" t="s">
        <v>1059</v>
      </c>
      <c r="I41" s="18" t="s">
        <v>928</v>
      </c>
      <c r="J41" s="18" t="s">
        <v>929</v>
      </c>
    </row>
    <row r="42" ht="33.75" customHeight="true" spans="1:10">
      <c r="A42" s="18" t="s">
        <v>619</v>
      </c>
      <c r="B42" s="18" t="s">
        <v>1056</v>
      </c>
      <c r="C42" s="18" t="s">
        <v>922</v>
      </c>
      <c r="D42" s="18" t="s">
        <v>923</v>
      </c>
      <c r="E42" s="18" t="s">
        <v>1062</v>
      </c>
      <c r="F42" s="18" t="s">
        <v>938</v>
      </c>
      <c r="G42" s="41" t="s">
        <v>1014</v>
      </c>
      <c r="H42" s="18" t="s">
        <v>1011</v>
      </c>
      <c r="I42" s="18" t="s">
        <v>928</v>
      </c>
      <c r="J42" s="18" t="s">
        <v>929</v>
      </c>
    </row>
    <row r="43" ht="33.75" customHeight="true" spans="1:10">
      <c r="A43" s="18" t="s">
        <v>619</v>
      </c>
      <c r="B43" s="18" t="s">
        <v>1056</v>
      </c>
      <c r="C43" s="18" t="s">
        <v>922</v>
      </c>
      <c r="D43" s="18" t="s">
        <v>933</v>
      </c>
      <c r="E43" s="18" t="s">
        <v>1005</v>
      </c>
      <c r="F43" s="18" t="s">
        <v>925</v>
      </c>
      <c r="G43" s="41" t="s">
        <v>926</v>
      </c>
      <c r="H43" s="18" t="s">
        <v>927</v>
      </c>
      <c r="I43" s="18" t="s">
        <v>928</v>
      </c>
      <c r="J43" s="18" t="s">
        <v>929</v>
      </c>
    </row>
    <row r="44" ht="33.75" customHeight="true" spans="1:10">
      <c r="A44" s="18" t="s">
        <v>619</v>
      </c>
      <c r="B44" s="18" t="s">
        <v>1056</v>
      </c>
      <c r="C44" s="18" t="s">
        <v>922</v>
      </c>
      <c r="D44" s="18" t="s">
        <v>933</v>
      </c>
      <c r="E44" s="18" t="s">
        <v>1063</v>
      </c>
      <c r="F44" s="18" t="s">
        <v>925</v>
      </c>
      <c r="G44" s="41" t="s">
        <v>939</v>
      </c>
      <c r="H44" s="18" t="s">
        <v>927</v>
      </c>
      <c r="I44" s="18" t="s">
        <v>928</v>
      </c>
      <c r="J44" s="18" t="s">
        <v>929</v>
      </c>
    </row>
    <row r="45" ht="33.75" customHeight="true" spans="1:10">
      <c r="A45" s="18" t="s">
        <v>619</v>
      </c>
      <c r="B45" s="18" t="s">
        <v>1056</v>
      </c>
      <c r="C45" s="18" t="s">
        <v>922</v>
      </c>
      <c r="D45" s="18" t="s">
        <v>936</v>
      </c>
      <c r="E45" s="18" t="s">
        <v>1064</v>
      </c>
      <c r="F45" s="18" t="s">
        <v>938</v>
      </c>
      <c r="G45" s="41" t="s">
        <v>939</v>
      </c>
      <c r="H45" s="18" t="s">
        <v>927</v>
      </c>
      <c r="I45" s="18" t="s">
        <v>928</v>
      </c>
      <c r="J45" s="18" t="s">
        <v>929</v>
      </c>
    </row>
    <row r="46" ht="33.75" customHeight="true" spans="1:10">
      <c r="A46" s="18" t="s">
        <v>619</v>
      </c>
      <c r="B46" s="18" t="s">
        <v>1056</v>
      </c>
      <c r="C46" s="18" t="s">
        <v>940</v>
      </c>
      <c r="D46" s="18" t="s">
        <v>941</v>
      </c>
      <c r="E46" s="18" t="s">
        <v>1019</v>
      </c>
      <c r="F46" s="18" t="s">
        <v>938</v>
      </c>
      <c r="G46" s="41" t="s">
        <v>1020</v>
      </c>
      <c r="H46" s="18"/>
      <c r="I46" s="18" t="s">
        <v>956</v>
      </c>
      <c r="J46" s="18" t="s">
        <v>929</v>
      </c>
    </row>
    <row r="47" ht="33.75" customHeight="true" spans="1:10">
      <c r="A47" s="18" t="s">
        <v>619</v>
      </c>
      <c r="B47" s="18" t="s">
        <v>1056</v>
      </c>
      <c r="C47" s="18" t="s">
        <v>940</v>
      </c>
      <c r="D47" s="18" t="s">
        <v>941</v>
      </c>
      <c r="E47" s="18" t="s">
        <v>1065</v>
      </c>
      <c r="F47" s="18" t="s">
        <v>938</v>
      </c>
      <c r="G47" s="41" t="s">
        <v>1066</v>
      </c>
      <c r="H47" s="18"/>
      <c r="I47" s="18" t="s">
        <v>956</v>
      </c>
      <c r="J47" s="18" t="s">
        <v>929</v>
      </c>
    </row>
    <row r="48" ht="33.75" customHeight="true" spans="1:10">
      <c r="A48" s="18" t="s">
        <v>619</v>
      </c>
      <c r="B48" s="18" t="s">
        <v>1056</v>
      </c>
      <c r="C48" s="18" t="s">
        <v>940</v>
      </c>
      <c r="D48" s="18" t="s">
        <v>941</v>
      </c>
      <c r="E48" s="18" t="s">
        <v>1067</v>
      </c>
      <c r="F48" s="18" t="s">
        <v>938</v>
      </c>
      <c r="G48" s="41" t="s">
        <v>1017</v>
      </c>
      <c r="H48" s="18"/>
      <c r="I48" s="18" t="s">
        <v>956</v>
      </c>
      <c r="J48" s="18" t="s">
        <v>929</v>
      </c>
    </row>
    <row r="49" ht="33.75" customHeight="true" spans="1:10">
      <c r="A49" s="18" t="s">
        <v>619</v>
      </c>
      <c r="B49" s="18" t="s">
        <v>1056</v>
      </c>
      <c r="C49" s="18" t="s">
        <v>944</v>
      </c>
      <c r="D49" s="18" t="s">
        <v>945</v>
      </c>
      <c r="E49" s="18" t="s">
        <v>1068</v>
      </c>
      <c r="F49" s="18" t="s">
        <v>925</v>
      </c>
      <c r="G49" s="41" t="s">
        <v>935</v>
      </c>
      <c r="H49" s="18" t="s">
        <v>927</v>
      </c>
      <c r="I49" s="18" t="s">
        <v>928</v>
      </c>
      <c r="J49" s="18" t="s">
        <v>929</v>
      </c>
    </row>
    <row r="50" ht="33.75" customHeight="true" spans="1:10">
      <c r="A50" s="18" t="s">
        <v>577</v>
      </c>
      <c r="B50" s="18" t="s">
        <v>1069</v>
      </c>
      <c r="C50" s="18" t="s">
        <v>922</v>
      </c>
      <c r="D50" s="18" t="s">
        <v>923</v>
      </c>
      <c r="E50" s="18" t="s">
        <v>1070</v>
      </c>
      <c r="F50" s="18" t="s">
        <v>925</v>
      </c>
      <c r="G50" s="41" t="s">
        <v>935</v>
      </c>
      <c r="H50" s="18" t="s">
        <v>927</v>
      </c>
      <c r="I50" s="18" t="s">
        <v>928</v>
      </c>
      <c r="J50" s="18" t="s">
        <v>929</v>
      </c>
    </row>
    <row r="51" ht="33.75" customHeight="true" spans="1:10">
      <c r="A51" s="18" t="s">
        <v>577</v>
      </c>
      <c r="B51" s="18" t="s">
        <v>1069</v>
      </c>
      <c r="C51" s="18" t="s">
        <v>922</v>
      </c>
      <c r="D51" s="18" t="s">
        <v>923</v>
      </c>
      <c r="E51" s="18" t="s">
        <v>1071</v>
      </c>
      <c r="F51" s="18" t="s">
        <v>925</v>
      </c>
      <c r="G51" s="41" t="s">
        <v>943</v>
      </c>
      <c r="H51" s="18" t="s">
        <v>927</v>
      </c>
      <c r="I51" s="18" t="s">
        <v>928</v>
      </c>
      <c r="J51" s="18" t="s">
        <v>929</v>
      </c>
    </row>
    <row r="52" ht="33.75" customHeight="true" spans="1:10">
      <c r="A52" s="18" t="s">
        <v>577</v>
      </c>
      <c r="B52" s="18" t="s">
        <v>1069</v>
      </c>
      <c r="C52" s="18" t="s">
        <v>922</v>
      </c>
      <c r="D52" s="18" t="s">
        <v>923</v>
      </c>
      <c r="E52" s="18" t="s">
        <v>1072</v>
      </c>
      <c r="F52" s="18" t="s">
        <v>925</v>
      </c>
      <c r="G52" s="41" t="s">
        <v>935</v>
      </c>
      <c r="H52" s="18" t="s">
        <v>927</v>
      </c>
      <c r="I52" s="18" t="s">
        <v>928</v>
      </c>
      <c r="J52" s="18" t="s">
        <v>929</v>
      </c>
    </row>
    <row r="53" ht="33.75" customHeight="true" spans="1:10">
      <c r="A53" s="18" t="s">
        <v>577</v>
      </c>
      <c r="B53" s="18" t="s">
        <v>1069</v>
      </c>
      <c r="C53" s="18" t="s">
        <v>922</v>
      </c>
      <c r="D53" s="18" t="s">
        <v>923</v>
      </c>
      <c r="E53" s="18" t="s">
        <v>1073</v>
      </c>
      <c r="F53" s="18" t="s">
        <v>925</v>
      </c>
      <c r="G53" s="41" t="s">
        <v>935</v>
      </c>
      <c r="H53" s="18" t="s">
        <v>927</v>
      </c>
      <c r="I53" s="18" t="s">
        <v>928</v>
      </c>
      <c r="J53" s="18" t="s">
        <v>929</v>
      </c>
    </row>
    <row r="54" ht="33.75" customHeight="true" spans="1:10">
      <c r="A54" s="18" t="s">
        <v>577</v>
      </c>
      <c r="B54" s="18" t="s">
        <v>1069</v>
      </c>
      <c r="C54" s="18" t="s">
        <v>922</v>
      </c>
      <c r="D54" s="18" t="s">
        <v>923</v>
      </c>
      <c r="E54" s="18" t="s">
        <v>1074</v>
      </c>
      <c r="F54" s="18" t="s">
        <v>925</v>
      </c>
      <c r="G54" s="41" t="s">
        <v>963</v>
      </c>
      <c r="H54" s="18" t="s">
        <v>927</v>
      </c>
      <c r="I54" s="18" t="s">
        <v>928</v>
      </c>
      <c r="J54" s="18" t="s">
        <v>929</v>
      </c>
    </row>
    <row r="55" ht="33.75" customHeight="true" spans="1:10">
      <c r="A55" s="18" t="s">
        <v>577</v>
      </c>
      <c r="B55" s="18" t="s">
        <v>1069</v>
      </c>
      <c r="C55" s="18" t="s">
        <v>922</v>
      </c>
      <c r="D55" s="18" t="s">
        <v>923</v>
      </c>
      <c r="E55" s="18" t="s">
        <v>1075</v>
      </c>
      <c r="F55" s="18" t="s">
        <v>925</v>
      </c>
      <c r="G55" s="41" t="s">
        <v>1076</v>
      </c>
      <c r="H55" s="18" t="s">
        <v>927</v>
      </c>
      <c r="I55" s="18" t="s">
        <v>928</v>
      </c>
      <c r="J55" s="18" t="s">
        <v>929</v>
      </c>
    </row>
    <row r="56" ht="33.75" customHeight="true" spans="1:10">
      <c r="A56" s="18" t="s">
        <v>577</v>
      </c>
      <c r="B56" s="18" t="s">
        <v>1069</v>
      </c>
      <c r="C56" s="18" t="s">
        <v>922</v>
      </c>
      <c r="D56" s="18" t="s">
        <v>923</v>
      </c>
      <c r="E56" s="18" t="s">
        <v>1077</v>
      </c>
      <c r="F56" s="18" t="s">
        <v>925</v>
      </c>
      <c r="G56" s="41" t="s">
        <v>935</v>
      </c>
      <c r="H56" s="18" t="s">
        <v>927</v>
      </c>
      <c r="I56" s="18" t="s">
        <v>928</v>
      </c>
      <c r="J56" s="18" t="s">
        <v>929</v>
      </c>
    </row>
    <row r="57" ht="33.75" customHeight="true" spans="1:10">
      <c r="A57" s="18" t="s">
        <v>577</v>
      </c>
      <c r="B57" s="18" t="s">
        <v>1069</v>
      </c>
      <c r="C57" s="18" t="s">
        <v>922</v>
      </c>
      <c r="D57" s="18" t="s">
        <v>923</v>
      </c>
      <c r="E57" s="18" t="s">
        <v>1078</v>
      </c>
      <c r="F57" s="18" t="s">
        <v>925</v>
      </c>
      <c r="G57" s="41" t="s">
        <v>963</v>
      </c>
      <c r="H57" s="18" t="s">
        <v>927</v>
      </c>
      <c r="I57" s="18" t="s">
        <v>928</v>
      </c>
      <c r="J57" s="18" t="s">
        <v>929</v>
      </c>
    </row>
    <row r="58" ht="33.75" customHeight="true" spans="1:10">
      <c r="A58" s="18" t="s">
        <v>577</v>
      </c>
      <c r="B58" s="18" t="s">
        <v>1069</v>
      </c>
      <c r="C58" s="18" t="s">
        <v>922</v>
      </c>
      <c r="D58" s="18" t="s">
        <v>923</v>
      </c>
      <c r="E58" s="18" t="s">
        <v>1079</v>
      </c>
      <c r="F58" s="18" t="s">
        <v>925</v>
      </c>
      <c r="G58" s="41" t="s">
        <v>935</v>
      </c>
      <c r="H58" s="18" t="s">
        <v>927</v>
      </c>
      <c r="I58" s="18" t="s">
        <v>928</v>
      </c>
      <c r="J58" s="18" t="s">
        <v>929</v>
      </c>
    </row>
    <row r="59" ht="33.75" customHeight="true" spans="1:10">
      <c r="A59" s="18" t="s">
        <v>577</v>
      </c>
      <c r="B59" s="18" t="s">
        <v>1069</v>
      </c>
      <c r="C59" s="18" t="s">
        <v>922</v>
      </c>
      <c r="D59" s="18" t="s">
        <v>923</v>
      </c>
      <c r="E59" s="18" t="s">
        <v>1080</v>
      </c>
      <c r="F59" s="18" t="s">
        <v>925</v>
      </c>
      <c r="G59" s="41" t="s">
        <v>1076</v>
      </c>
      <c r="H59" s="18" t="s">
        <v>927</v>
      </c>
      <c r="I59" s="18" t="s">
        <v>928</v>
      </c>
      <c r="J59" s="18" t="s">
        <v>929</v>
      </c>
    </row>
    <row r="60" ht="33.75" customHeight="true" spans="1:10">
      <c r="A60" s="18" t="s">
        <v>577</v>
      </c>
      <c r="B60" s="18" t="s">
        <v>1069</v>
      </c>
      <c r="C60" s="18" t="s">
        <v>922</v>
      </c>
      <c r="D60" s="18" t="s">
        <v>923</v>
      </c>
      <c r="E60" s="18" t="s">
        <v>1081</v>
      </c>
      <c r="F60" s="18" t="s">
        <v>925</v>
      </c>
      <c r="G60" s="41" t="s">
        <v>935</v>
      </c>
      <c r="H60" s="18" t="s">
        <v>927</v>
      </c>
      <c r="I60" s="18" t="s">
        <v>928</v>
      </c>
      <c r="J60" s="18" t="s">
        <v>929</v>
      </c>
    </row>
    <row r="61" ht="33.75" customHeight="true" spans="1:10">
      <c r="A61" s="18" t="s">
        <v>577</v>
      </c>
      <c r="B61" s="18" t="s">
        <v>1069</v>
      </c>
      <c r="C61" s="18" t="s">
        <v>922</v>
      </c>
      <c r="D61" s="18" t="s">
        <v>933</v>
      </c>
      <c r="E61" s="18" t="s">
        <v>1082</v>
      </c>
      <c r="F61" s="18" t="s">
        <v>925</v>
      </c>
      <c r="G61" s="41" t="s">
        <v>976</v>
      </c>
      <c r="H61" s="18" t="s">
        <v>927</v>
      </c>
      <c r="I61" s="18" t="s">
        <v>928</v>
      </c>
      <c r="J61" s="18" t="s">
        <v>929</v>
      </c>
    </row>
    <row r="62" ht="33.75" customHeight="true" spans="1:10">
      <c r="A62" s="18" t="s">
        <v>577</v>
      </c>
      <c r="B62" s="18" t="s">
        <v>1069</v>
      </c>
      <c r="C62" s="18" t="s">
        <v>922</v>
      </c>
      <c r="D62" s="18" t="s">
        <v>933</v>
      </c>
      <c r="E62" s="18" t="s">
        <v>1083</v>
      </c>
      <c r="F62" s="18" t="s">
        <v>925</v>
      </c>
      <c r="G62" s="41" t="s">
        <v>976</v>
      </c>
      <c r="H62" s="18" t="s">
        <v>927</v>
      </c>
      <c r="I62" s="18" t="s">
        <v>928</v>
      </c>
      <c r="J62" s="18" t="s">
        <v>929</v>
      </c>
    </row>
    <row r="63" ht="33.75" customHeight="true" spans="1:10">
      <c r="A63" s="18" t="s">
        <v>577</v>
      </c>
      <c r="B63" s="18" t="s">
        <v>1069</v>
      </c>
      <c r="C63" s="18" t="s">
        <v>922</v>
      </c>
      <c r="D63" s="18" t="s">
        <v>933</v>
      </c>
      <c r="E63" s="18" t="s">
        <v>1084</v>
      </c>
      <c r="F63" s="18" t="s">
        <v>925</v>
      </c>
      <c r="G63" s="41" t="s">
        <v>976</v>
      </c>
      <c r="H63" s="18" t="s">
        <v>927</v>
      </c>
      <c r="I63" s="18" t="s">
        <v>928</v>
      </c>
      <c r="J63" s="18" t="s">
        <v>929</v>
      </c>
    </row>
    <row r="64" ht="33.75" customHeight="true" spans="1:10">
      <c r="A64" s="18" t="s">
        <v>577</v>
      </c>
      <c r="B64" s="18" t="s">
        <v>1069</v>
      </c>
      <c r="C64" s="18" t="s">
        <v>922</v>
      </c>
      <c r="D64" s="18" t="s">
        <v>933</v>
      </c>
      <c r="E64" s="18" t="s">
        <v>1085</v>
      </c>
      <c r="F64" s="18" t="s">
        <v>925</v>
      </c>
      <c r="G64" s="41" t="s">
        <v>976</v>
      </c>
      <c r="H64" s="18" t="s">
        <v>927</v>
      </c>
      <c r="I64" s="18" t="s">
        <v>928</v>
      </c>
      <c r="J64" s="18" t="s">
        <v>929</v>
      </c>
    </row>
    <row r="65" ht="33.75" customHeight="true" spans="1:10">
      <c r="A65" s="18" t="s">
        <v>577</v>
      </c>
      <c r="B65" s="18" t="s">
        <v>1069</v>
      </c>
      <c r="C65" s="18" t="s">
        <v>922</v>
      </c>
      <c r="D65" s="18" t="s">
        <v>933</v>
      </c>
      <c r="E65" s="18" t="s">
        <v>1086</v>
      </c>
      <c r="F65" s="18" t="s">
        <v>925</v>
      </c>
      <c r="G65" s="41" t="s">
        <v>935</v>
      </c>
      <c r="H65" s="18" t="s">
        <v>927</v>
      </c>
      <c r="I65" s="18" t="s">
        <v>928</v>
      </c>
      <c r="J65" s="18" t="s">
        <v>929</v>
      </c>
    </row>
    <row r="66" ht="33.75" customHeight="true" spans="1:10">
      <c r="A66" s="18" t="s">
        <v>577</v>
      </c>
      <c r="B66" s="18" t="s">
        <v>1069</v>
      </c>
      <c r="C66" s="18" t="s">
        <v>922</v>
      </c>
      <c r="D66" s="18" t="s">
        <v>933</v>
      </c>
      <c r="E66" s="18" t="s">
        <v>1087</v>
      </c>
      <c r="F66" s="18" t="s">
        <v>925</v>
      </c>
      <c r="G66" s="41" t="s">
        <v>926</v>
      </c>
      <c r="H66" s="18" t="s">
        <v>927</v>
      </c>
      <c r="I66" s="18" t="s">
        <v>928</v>
      </c>
      <c r="J66" s="18" t="s">
        <v>929</v>
      </c>
    </row>
    <row r="67" ht="33.75" customHeight="true" spans="1:10">
      <c r="A67" s="18" t="s">
        <v>577</v>
      </c>
      <c r="B67" s="18" t="s">
        <v>1069</v>
      </c>
      <c r="C67" s="18" t="s">
        <v>922</v>
      </c>
      <c r="D67" s="18" t="s">
        <v>933</v>
      </c>
      <c r="E67" s="18" t="s">
        <v>1088</v>
      </c>
      <c r="F67" s="18" t="s">
        <v>925</v>
      </c>
      <c r="G67" s="41" t="s">
        <v>1089</v>
      </c>
      <c r="H67" s="18" t="s">
        <v>927</v>
      </c>
      <c r="I67" s="18" t="s">
        <v>928</v>
      </c>
      <c r="J67" s="18" t="s">
        <v>929</v>
      </c>
    </row>
    <row r="68" ht="33.75" customHeight="true" spans="1:10">
      <c r="A68" s="18" t="s">
        <v>577</v>
      </c>
      <c r="B68" s="18" t="s">
        <v>1069</v>
      </c>
      <c r="C68" s="18" t="s">
        <v>922</v>
      </c>
      <c r="D68" s="18" t="s">
        <v>933</v>
      </c>
      <c r="E68" s="18" t="s">
        <v>1090</v>
      </c>
      <c r="F68" s="18" t="s">
        <v>985</v>
      </c>
      <c r="G68" s="41" t="s">
        <v>53</v>
      </c>
      <c r="H68" s="18" t="s">
        <v>927</v>
      </c>
      <c r="I68" s="18" t="s">
        <v>928</v>
      </c>
      <c r="J68" s="18" t="s">
        <v>929</v>
      </c>
    </row>
    <row r="69" ht="33.75" customHeight="true" spans="1:10">
      <c r="A69" s="18" t="s">
        <v>577</v>
      </c>
      <c r="B69" s="18" t="s">
        <v>1069</v>
      </c>
      <c r="C69" s="18" t="s">
        <v>940</v>
      </c>
      <c r="D69" s="18" t="s">
        <v>941</v>
      </c>
      <c r="E69" s="18" t="s">
        <v>1091</v>
      </c>
      <c r="F69" s="18" t="s">
        <v>938</v>
      </c>
      <c r="G69" s="41" t="s">
        <v>1092</v>
      </c>
      <c r="H69" s="18"/>
      <c r="I69" s="18" t="s">
        <v>956</v>
      </c>
      <c r="J69" s="18" t="s">
        <v>929</v>
      </c>
    </row>
    <row r="70" ht="33.75" customHeight="true" spans="1:10">
      <c r="A70" s="18" t="s">
        <v>577</v>
      </c>
      <c r="B70" s="18" t="s">
        <v>1069</v>
      </c>
      <c r="C70" s="18" t="s">
        <v>940</v>
      </c>
      <c r="D70" s="18" t="s">
        <v>941</v>
      </c>
      <c r="E70" s="18" t="s">
        <v>1093</v>
      </c>
      <c r="F70" s="18" t="s">
        <v>938</v>
      </c>
      <c r="G70" s="41" t="s">
        <v>1094</v>
      </c>
      <c r="H70" s="18"/>
      <c r="I70" s="18" t="s">
        <v>956</v>
      </c>
      <c r="J70" s="18" t="s">
        <v>929</v>
      </c>
    </row>
    <row r="71" ht="33.75" customHeight="true" spans="1:10">
      <c r="A71" s="18" t="s">
        <v>577</v>
      </c>
      <c r="B71" s="18" t="s">
        <v>1069</v>
      </c>
      <c r="C71" s="18" t="s">
        <v>940</v>
      </c>
      <c r="D71" s="18" t="s">
        <v>957</v>
      </c>
      <c r="E71" s="18" t="s">
        <v>1095</v>
      </c>
      <c r="F71" s="18" t="s">
        <v>938</v>
      </c>
      <c r="G71" s="41" t="s">
        <v>1094</v>
      </c>
      <c r="H71" s="18"/>
      <c r="I71" s="18" t="s">
        <v>956</v>
      </c>
      <c r="J71" s="18" t="s">
        <v>929</v>
      </c>
    </row>
    <row r="72" ht="33.75" customHeight="true" spans="1:10">
      <c r="A72" s="18" t="s">
        <v>577</v>
      </c>
      <c r="B72" s="18" t="s">
        <v>1069</v>
      </c>
      <c r="C72" s="18" t="s">
        <v>944</v>
      </c>
      <c r="D72" s="18" t="s">
        <v>945</v>
      </c>
      <c r="E72" s="18" t="s">
        <v>1096</v>
      </c>
      <c r="F72" s="18" t="s">
        <v>938</v>
      </c>
      <c r="G72" s="41" t="s">
        <v>1097</v>
      </c>
      <c r="H72" s="18"/>
      <c r="I72" s="18" t="s">
        <v>956</v>
      </c>
      <c r="J72" s="18" t="s">
        <v>929</v>
      </c>
    </row>
    <row r="73" ht="33.75" customHeight="true" spans="1:10">
      <c r="A73" s="18" t="s">
        <v>606</v>
      </c>
      <c r="B73" s="18" t="s">
        <v>606</v>
      </c>
      <c r="C73" s="18" t="s">
        <v>922</v>
      </c>
      <c r="D73" s="18" t="s">
        <v>923</v>
      </c>
      <c r="E73" s="18" t="s">
        <v>606</v>
      </c>
      <c r="F73" s="18" t="s">
        <v>925</v>
      </c>
      <c r="G73" s="41" t="s">
        <v>1098</v>
      </c>
      <c r="H73" s="18" t="s">
        <v>927</v>
      </c>
      <c r="I73" s="18" t="s">
        <v>928</v>
      </c>
      <c r="J73" s="18" t="s">
        <v>606</v>
      </c>
    </row>
    <row r="74" ht="33.75" customHeight="true" spans="1:10">
      <c r="A74" s="18" t="s">
        <v>606</v>
      </c>
      <c r="B74" s="18" t="s">
        <v>606</v>
      </c>
      <c r="C74" s="18" t="s">
        <v>922</v>
      </c>
      <c r="D74" s="18" t="s">
        <v>923</v>
      </c>
      <c r="E74" s="18" t="s">
        <v>606</v>
      </c>
      <c r="F74" s="18" t="s">
        <v>925</v>
      </c>
      <c r="G74" s="41" t="s">
        <v>926</v>
      </c>
      <c r="H74" s="18" t="s">
        <v>927</v>
      </c>
      <c r="I74" s="18" t="s">
        <v>928</v>
      </c>
      <c r="J74" s="18" t="s">
        <v>606</v>
      </c>
    </row>
    <row r="75" ht="33.75" customHeight="true" spans="1:10">
      <c r="A75" s="18" t="s">
        <v>606</v>
      </c>
      <c r="B75" s="18" t="s">
        <v>606</v>
      </c>
      <c r="C75" s="18" t="s">
        <v>922</v>
      </c>
      <c r="D75" s="18" t="s">
        <v>923</v>
      </c>
      <c r="E75" s="18" t="s">
        <v>606</v>
      </c>
      <c r="F75" s="18" t="s">
        <v>925</v>
      </c>
      <c r="G75" s="41" t="s">
        <v>935</v>
      </c>
      <c r="H75" s="18" t="s">
        <v>927</v>
      </c>
      <c r="I75" s="18" t="s">
        <v>928</v>
      </c>
      <c r="J75" s="18" t="s">
        <v>606</v>
      </c>
    </row>
    <row r="76" ht="33.75" customHeight="true" spans="1:10">
      <c r="A76" s="18" t="s">
        <v>606</v>
      </c>
      <c r="B76" s="18" t="s">
        <v>606</v>
      </c>
      <c r="C76" s="18" t="s">
        <v>922</v>
      </c>
      <c r="D76" s="18" t="s">
        <v>923</v>
      </c>
      <c r="E76" s="18" t="s">
        <v>606</v>
      </c>
      <c r="F76" s="18" t="s">
        <v>938</v>
      </c>
      <c r="G76" s="41" t="s">
        <v>939</v>
      </c>
      <c r="H76" s="18" t="s">
        <v>927</v>
      </c>
      <c r="I76" s="18" t="s">
        <v>928</v>
      </c>
      <c r="J76" s="18" t="s">
        <v>606</v>
      </c>
    </row>
    <row r="77" ht="33.75" customHeight="true" spans="1:10">
      <c r="A77" s="18" t="s">
        <v>606</v>
      </c>
      <c r="B77" s="18" t="s">
        <v>606</v>
      </c>
      <c r="C77" s="18" t="s">
        <v>922</v>
      </c>
      <c r="D77" s="18" t="s">
        <v>923</v>
      </c>
      <c r="E77" s="18" t="s">
        <v>606</v>
      </c>
      <c r="F77" s="18" t="s">
        <v>938</v>
      </c>
      <c r="G77" s="41" t="s">
        <v>939</v>
      </c>
      <c r="H77" s="18" t="s">
        <v>927</v>
      </c>
      <c r="I77" s="18" t="s">
        <v>928</v>
      </c>
      <c r="J77" s="18" t="s">
        <v>606</v>
      </c>
    </row>
    <row r="78" ht="33.75" customHeight="true" spans="1:10">
      <c r="A78" s="18" t="s">
        <v>606</v>
      </c>
      <c r="B78" s="18" t="s">
        <v>606</v>
      </c>
      <c r="C78" s="18" t="s">
        <v>922</v>
      </c>
      <c r="D78" s="18" t="s">
        <v>923</v>
      </c>
      <c r="E78" s="18" t="s">
        <v>606</v>
      </c>
      <c r="F78" s="18" t="s">
        <v>938</v>
      </c>
      <c r="G78" s="41" t="s">
        <v>939</v>
      </c>
      <c r="H78" s="18" t="s">
        <v>927</v>
      </c>
      <c r="I78" s="18" t="s">
        <v>928</v>
      </c>
      <c r="J78" s="18" t="s">
        <v>606</v>
      </c>
    </row>
    <row r="79" ht="33.75" customHeight="true" spans="1:10">
      <c r="A79" s="18" t="s">
        <v>606</v>
      </c>
      <c r="B79" s="18" t="s">
        <v>606</v>
      </c>
      <c r="C79" s="18" t="s">
        <v>922</v>
      </c>
      <c r="D79" s="18" t="s">
        <v>923</v>
      </c>
      <c r="E79" s="18" t="s">
        <v>606</v>
      </c>
      <c r="F79" s="18" t="s">
        <v>938</v>
      </c>
      <c r="G79" s="41" t="s">
        <v>939</v>
      </c>
      <c r="H79" s="18" t="s">
        <v>927</v>
      </c>
      <c r="I79" s="18" t="s">
        <v>928</v>
      </c>
      <c r="J79" s="18" t="s">
        <v>606</v>
      </c>
    </row>
    <row r="80" ht="33.75" customHeight="true" spans="1:10">
      <c r="A80" s="18" t="s">
        <v>606</v>
      </c>
      <c r="B80" s="18" t="s">
        <v>606</v>
      </c>
      <c r="C80" s="18" t="s">
        <v>922</v>
      </c>
      <c r="D80" s="18" t="s">
        <v>933</v>
      </c>
      <c r="E80" s="18" t="s">
        <v>606</v>
      </c>
      <c r="F80" s="18" t="s">
        <v>925</v>
      </c>
      <c r="G80" s="41" t="s">
        <v>935</v>
      </c>
      <c r="H80" s="18" t="s">
        <v>927</v>
      </c>
      <c r="I80" s="18" t="s">
        <v>928</v>
      </c>
      <c r="J80" s="18" t="s">
        <v>606</v>
      </c>
    </row>
    <row r="81" ht="33.75" customHeight="true" spans="1:10">
      <c r="A81" s="18" t="s">
        <v>606</v>
      </c>
      <c r="B81" s="18" t="s">
        <v>606</v>
      </c>
      <c r="C81" s="18" t="s">
        <v>922</v>
      </c>
      <c r="D81" s="18" t="s">
        <v>933</v>
      </c>
      <c r="E81" s="18" t="s">
        <v>606</v>
      </c>
      <c r="F81" s="18" t="s">
        <v>925</v>
      </c>
      <c r="G81" s="41" t="s">
        <v>926</v>
      </c>
      <c r="H81" s="18" t="s">
        <v>927</v>
      </c>
      <c r="I81" s="18" t="s">
        <v>928</v>
      </c>
      <c r="J81" s="18" t="s">
        <v>606</v>
      </c>
    </row>
    <row r="82" ht="33.75" customHeight="true" spans="1:10">
      <c r="A82" s="18" t="s">
        <v>606</v>
      </c>
      <c r="B82" s="18" t="s">
        <v>606</v>
      </c>
      <c r="C82" s="18" t="s">
        <v>922</v>
      </c>
      <c r="D82" s="18" t="s">
        <v>933</v>
      </c>
      <c r="E82" s="18" t="s">
        <v>606</v>
      </c>
      <c r="F82" s="18" t="s">
        <v>938</v>
      </c>
      <c r="G82" s="41" t="s">
        <v>939</v>
      </c>
      <c r="H82" s="18" t="s">
        <v>927</v>
      </c>
      <c r="I82" s="18" t="s">
        <v>928</v>
      </c>
      <c r="J82" s="18" t="s">
        <v>606</v>
      </c>
    </row>
    <row r="83" ht="33.75" customHeight="true" spans="1:10">
      <c r="A83" s="18" t="s">
        <v>606</v>
      </c>
      <c r="B83" s="18" t="s">
        <v>606</v>
      </c>
      <c r="C83" s="18" t="s">
        <v>922</v>
      </c>
      <c r="D83" s="18" t="s">
        <v>933</v>
      </c>
      <c r="E83" s="18" t="s">
        <v>606</v>
      </c>
      <c r="F83" s="18" t="s">
        <v>938</v>
      </c>
      <c r="G83" s="41" t="s">
        <v>939</v>
      </c>
      <c r="H83" s="18" t="s">
        <v>927</v>
      </c>
      <c r="I83" s="18" t="s">
        <v>928</v>
      </c>
      <c r="J83" s="18" t="s">
        <v>606</v>
      </c>
    </row>
    <row r="84" ht="33.75" customHeight="true" spans="1:10">
      <c r="A84" s="18" t="s">
        <v>606</v>
      </c>
      <c r="B84" s="18" t="s">
        <v>606</v>
      </c>
      <c r="C84" s="18" t="s">
        <v>940</v>
      </c>
      <c r="D84" s="18" t="s">
        <v>957</v>
      </c>
      <c r="E84" s="18" t="s">
        <v>606</v>
      </c>
      <c r="F84" s="18" t="s">
        <v>1099</v>
      </c>
      <c r="G84" s="41" t="s">
        <v>959</v>
      </c>
      <c r="H84" s="18" t="s">
        <v>927</v>
      </c>
      <c r="I84" s="18" t="s">
        <v>956</v>
      </c>
      <c r="J84" s="18" t="s">
        <v>606</v>
      </c>
    </row>
    <row r="85" ht="33.75" customHeight="true" spans="1:10">
      <c r="A85" s="18" t="s">
        <v>606</v>
      </c>
      <c r="B85" s="18" t="s">
        <v>606</v>
      </c>
      <c r="C85" s="18" t="s">
        <v>944</v>
      </c>
      <c r="D85" s="18" t="s">
        <v>945</v>
      </c>
      <c r="E85" s="18" t="s">
        <v>606</v>
      </c>
      <c r="F85" s="18" t="s">
        <v>938</v>
      </c>
      <c r="G85" s="41" t="s">
        <v>935</v>
      </c>
      <c r="H85" s="18" t="s">
        <v>927</v>
      </c>
      <c r="I85" s="18" t="s">
        <v>928</v>
      </c>
      <c r="J85" s="18" t="s">
        <v>606</v>
      </c>
    </row>
    <row r="86" ht="33.75" customHeight="true" spans="1:10">
      <c r="A86" s="18" t="s">
        <v>581</v>
      </c>
      <c r="B86" s="18" t="s">
        <v>1100</v>
      </c>
      <c r="C86" s="18" t="s">
        <v>922</v>
      </c>
      <c r="D86" s="18" t="s">
        <v>923</v>
      </c>
      <c r="E86" s="18" t="s">
        <v>1070</v>
      </c>
      <c r="F86" s="18" t="s">
        <v>925</v>
      </c>
      <c r="G86" s="41" t="s">
        <v>935</v>
      </c>
      <c r="H86" s="18" t="s">
        <v>927</v>
      </c>
      <c r="I86" s="18" t="s">
        <v>928</v>
      </c>
      <c r="J86" s="18" t="s">
        <v>929</v>
      </c>
    </row>
    <row r="87" ht="33.75" customHeight="true" spans="1:10">
      <c r="A87" s="18" t="s">
        <v>581</v>
      </c>
      <c r="B87" s="18" t="s">
        <v>1100</v>
      </c>
      <c r="C87" s="18" t="s">
        <v>922</v>
      </c>
      <c r="D87" s="18" t="s">
        <v>923</v>
      </c>
      <c r="E87" s="18" t="s">
        <v>1071</v>
      </c>
      <c r="F87" s="18" t="s">
        <v>925</v>
      </c>
      <c r="G87" s="41" t="s">
        <v>935</v>
      </c>
      <c r="H87" s="18" t="s">
        <v>927</v>
      </c>
      <c r="I87" s="18" t="s">
        <v>928</v>
      </c>
      <c r="J87" s="18" t="s">
        <v>929</v>
      </c>
    </row>
    <row r="88" ht="33.75" customHeight="true" spans="1:10">
      <c r="A88" s="18" t="s">
        <v>581</v>
      </c>
      <c r="B88" s="18" t="s">
        <v>1100</v>
      </c>
      <c r="C88" s="18" t="s">
        <v>922</v>
      </c>
      <c r="D88" s="18" t="s">
        <v>923</v>
      </c>
      <c r="E88" s="18" t="s">
        <v>1101</v>
      </c>
      <c r="F88" s="18" t="s">
        <v>985</v>
      </c>
      <c r="G88" s="41" t="s">
        <v>1102</v>
      </c>
      <c r="H88" s="18" t="s">
        <v>927</v>
      </c>
      <c r="I88" s="18" t="s">
        <v>928</v>
      </c>
      <c r="J88" s="18" t="s">
        <v>929</v>
      </c>
    </row>
    <row r="89" ht="33.75" customHeight="true" spans="1:10">
      <c r="A89" s="18" t="s">
        <v>581</v>
      </c>
      <c r="B89" s="18" t="s">
        <v>1100</v>
      </c>
      <c r="C89" s="18" t="s">
        <v>922</v>
      </c>
      <c r="D89" s="18" t="s">
        <v>923</v>
      </c>
      <c r="E89" s="18" t="s">
        <v>1074</v>
      </c>
      <c r="F89" s="18" t="s">
        <v>925</v>
      </c>
      <c r="G89" s="41" t="s">
        <v>935</v>
      </c>
      <c r="H89" s="18" t="s">
        <v>927</v>
      </c>
      <c r="I89" s="18" t="s">
        <v>928</v>
      </c>
      <c r="J89" s="18" t="s">
        <v>929</v>
      </c>
    </row>
    <row r="90" ht="33.75" customHeight="true" spans="1:10">
      <c r="A90" s="18" t="s">
        <v>581</v>
      </c>
      <c r="B90" s="18" t="s">
        <v>1100</v>
      </c>
      <c r="C90" s="18" t="s">
        <v>922</v>
      </c>
      <c r="D90" s="18" t="s">
        <v>923</v>
      </c>
      <c r="E90" s="18" t="s">
        <v>1075</v>
      </c>
      <c r="F90" s="18" t="s">
        <v>925</v>
      </c>
      <c r="G90" s="41" t="s">
        <v>1076</v>
      </c>
      <c r="H90" s="18" t="s">
        <v>927</v>
      </c>
      <c r="I90" s="18" t="s">
        <v>928</v>
      </c>
      <c r="J90" s="18" t="s">
        <v>929</v>
      </c>
    </row>
    <row r="91" ht="33.75" customHeight="true" spans="1:10">
      <c r="A91" s="18" t="s">
        <v>581</v>
      </c>
      <c r="B91" s="18" t="s">
        <v>1100</v>
      </c>
      <c r="C91" s="18" t="s">
        <v>922</v>
      </c>
      <c r="D91" s="18" t="s">
        <v>933</v>
      </c>
      <c r="E91" s="18" t="s">
        <v>1082</v>
      </c>
      <c r="F91" s="18" t="s">
        <v>925</v>
      </c>
      <c r="G91" s="41" t="s">
        <v>1103</v>
      </c>
      <c r="H91" s="18" t="s">
        <v>927</v>
      </c>
      <c r="I91" s="18" t="s">
        <v>928</v>
      </c>
      <c r="J91" s="18" t="s">
        <v>929</v>
      </c>
    </row>
    <row r="92" ht="33.75" customHeight="true" spans="1:10">
      <c r="A92" s="18" t="s">
        <v>581</v>
      </c>
      <c r="B92" s="18" t="s">
        <v>1100</v>
      </c>
      <c r="C92" s="18" t="s">
        <v>922</v>
      </c>
      <c r="D92" s="18" t="s">
        <v>933</v>
      </c>
      <c r="E92" s="18" t="s">
        <v>1083</v>
      </c>
      <c r="F92" s="18" t="s">
        <v>925</v>
      </c>
      <c r="G92" s="41" t="s">
        <v>1103</v>
      </c>
      <c r="H92" s="18" t="s">
        <v>927</v>
      </c>
      <c r="I92" s="18" t="s">
        <v>928</v>
      </c>
      <c r="J92" s="18" t="s">
        <v>929</v>
      </c>
    </row>
    <row r="93" ht="33.75" customHeight="true" spans="1:10">
      <c r="A93" s="18" t="s">
        <v>581</v>
      </c>
      <c r="B93" s="18" t="s">
        <v>1100</v>
      </c>
      <c r="C93" s="18" t="s">
        <v>922</v>
      </c>
      <c r="D93" s="18" t="s">
        <v>933</v>
      </c>
      <c r="E93" s="18" t="s">
        <v>1084</v>
      </c>
      <c r="F93" s="18" t="s">
        <v>925</v>
      </c>
      <c r="G93" s="41" t="s">
        <v>1103</v>
      </c>
      <c r="H93" s="18" t="s">
        <v>927</v>
      </c>
      <c r="I93" s="18" t="s">
        <v>928</v>
      </c>
      <c r="J93" s="18" t="s">
        <v>929</v>
      </c>
    </row>
    <row r="94" ht="33.75" customHeight="true" spans="1:10">
      <c r="A94" s="18" t="s">
        <v>581</v>
      </c>
      <c r="B94" s="18" t="s">
        <v>1100</v>
      </c>
      <c r="C94" s="18" t="s">
        <v>922</v>
      </c>
      <c r="D94" s="18" t="s">
        <v>933</v>
      </c>
      <c r="E94" s="18" t="s">
        <v>1078</v>
      </c>
      <c r="F94" s="18" t="s">
        <v>925</v>
      </c>
      <c r="G94" s="41" t="s">
        <v>963</v>
      </c>
      <c r="H94" s="18" t="s">
        <v>927</v>
      </c>
      <c r="I94" s="18" t="s">
        <v>928</v>
      </c>
      <c r="J94" s="18" t="s">
        <v>929</v>
      </c>
    </row>
    <row r="95" ht="33.75" customHeight="true" spans="1:10">
      <c r="A95" s="18" t="s">
        <v>581</v>
      </c>
      <c r="B95" s="18" t="s">
        <v>1100</v>
      </c>
      <c r="C95" s="18" t="s">
        <v>922</v>
      </c>
      <c r="D95" s="18" t="s">
        <v>933</v>
      </c>
      <c r="E95" s="18" t="s">
        <v>1077</v>
      </c>
      <c r="F95" s="18" t="s">
        <v>925</v>
      </c>
      <c r="G95" s="41" t="s">
        <v>935</v>
      </c>
      <c r="H95" s="18" t="s">
        <v>927</v>
      </c>
      <c r="I95" s="18" t="s">
        <v>928</v>
      </c>
      <c r="J95" s="18" t="s">
        <v>929</v>
      </c>
    </row>
    <row r="96" ht="33.75" customHeight="true" spans="1:10">
      <c r="A96" s="18" t="s">
        <v>581</v>
      </c>
      <c r="B96" s="18" t="s">
        <v>1100</v>
      </c>
      <c r="C96" s="18" t="s">
        <v>940</v>
      </c>
      <c r="D96" s="18" t="s">
        <v>941</v>
      </c>
      <c r="E96" s="18" t="s">
        <v>1104</v>
      </c>
      <c r="F96" s="18" t="s">
        <v>925</v>
      </c>
      <c r="G96" s="41" t="s">
        <v>212</v>
      </c>
      <c r="H96" s="18" t="s">
        <v>927</v>
      </c>
      <c r="I96" s="18" t="s">
        <v>928</v>
      </c>
      <c r="J96" s="18" t="s">
        <v>929</v>
      </c>
    </row>
    <row r="97" ht="33.75" customHeight="true" spans="1:10">
      <c r="A97" s="18" t="s">
        <v>581</v>
      </c>
      <c r="B97" s="18" t="s">
        <v>1100</v>
      </c>
      <c r="C97" s="18" t="s">
        <v>940</v>
      </c>
      <c r="D97" s="18" t="s">
        <v>941</v>
      </c>
      <c r="E97" s="18" t="s">
        <v>1105</v>
      </c>
      <c r="F97" s="18" t="s">
        <v>925</v>
      </c>
      <c r="G97" s="41" t="s">
        <v>926</v>
      </c>
      <c r="H97" s="18" t="s">
        <v>927</v>
      </c>
      <c r="I97" s="18" t="s">
        <v>928</v>
      </c>
      <c r="J97" s="18" t="s">
        <v>929</v>
      </c>
    </row>
    <row r="98" ht="33.75" customHeight="true" spans="1:10">
      <c r="A98" s="18" t="s">
        <v>581</v>
      </c>
      <c r="B98" s="18" t="s">
        <v>1100</v>
      </c>
      <c r="C98" s="18" t="s">
        <v>940</v>
      </c>
      <c r="D98" s="18" t="s">
        <v>957</v>
      </c>
      <c r="E98" s="18" t="s">
        <v>1106</v>
      </c>
      <c r="F98" s="18" t="s">
        <v>938</v>
      </c>
      <c r="G98" s="41" t="s">
        <v>1107</v>
      </c>
      <c r="H98" s="18"/>
      <c r="I98" s="18" t="s">
        <v>956</v>
      </c>
      <c r="J98" s="18" t="s">
        <v>929</v>
      </c>
    </row>
    <row r="99" ht="33.75" customHeight="true" spans="1:10">
      <c r="A99" s="18" t="s">
        <v>581</v>
      </c>
      <c r="B99" s="18" t="s">
        <v>1100</v>
      </c>
      <c r="C99" s="18" t="s">
        <v>944</v>
      </c>
      <c r="D99" s="18" t="s">
        <v>945</v>
      </c>
      <c r="E99" s="18" t="s">
        <v>945</v>
      </c>
      <c r="F99" s="18" t="s">
        <v>925</v>
      </c>
      <c r="G99" s="41" t="s">
        <v>963</v>
      </c>
      <c r="H99" s="18" t="s">
        <v>927</v>
      </c>
      <c r="I99" s="18" t="s">
        <v>928</v>
      </c>
      <c r="J99" s="18" t="s">
        <v>929</v>
      </c>
    </row>
    <row r="100" ht="33.75" customHeight="true" spans="1:10">
      <c r="A100" s="18" t="s">
        <v>543</v>
      </c>
      <c r="B100" s="18" t="s">
        <v>1122</v>
      </c>
      <c r="C100" s="18" t="s">
        <v>922</v>
      </c>
      <c r="D100" s="18" t="s">
        <v>923</v>
      </c>
      <c r="E100" s="18" t="s">
        <v>1123</v>
      </c>
      <c r="F100" s="18" t="s">
        <v>1099</v>
      </c>
      <c r="G100" s="41" t="s">
        <v>1124</v>
      </c>
      <c r="H100" s="18" t="s">
        <v>952</v>
      </c>
      <c r="I100" s="18" t="s">
        <v>928</v>
      </c>
      <c r="J100" s="18" t="s">
        <v>1125</v>
      </c>
    </row>
    <row r="101" ht="33.75" customHeight="true" spans="1:10">
      <c r="A101" s="18" t="s">
        <v>543</v>
      </c>
      <c r="B101" s="18" t="s">
        <v>1122</v>
      </c>
      <c r="C101" s="18" t="s">
        <v>922</v>
      </c>
      <c r="D101" s="18" t="s">
        <v>923</v>
      </c>
      <c r="E101" s="18" t="s">
        <v>1126</v>
      </c>
      <c r="F101" s="18" t="s">
        <v>1099</v>
      </c>
      <c r="G101" s="41" t="s">
        <v>1127</v>
      </c>
      <c r="H101" s="18" t="s">
        <v>1128</v>
      </c>
      <c r="I101" s="18" t="s">
        <v>928</v>
      </c>
      <c r="J101" s="18" t="s">
        <v>1129</v>
      </c>
    </row>
    <row r="102" ht="33.75" customHeight="true" spans="1:10">
      <c r="A102" s="18" t="s">
        <v>543</v>
      </c>
      <c r="B102" s="18" t="s">
        <v>1122</v>
      </c>
      <c r="C102" s="18" t="s">
        <v>922</v>
      </c>
      <c r="D102" s="18" t="s">
        <v>923</v>
      </c>
      <c r="E102" s="18" t="s">
        <v>44</v>
      </c>
      <c r="F102" s="18" t="s">
        <v>1099</v>
      </c>
      <c r="G102" s="41" t="s">
        <v>1130</v>
      </c>
      <c r="H102" s="18" t="s">
        <v>952</v>
      </c>
      <c r="I102" s="18" t="s">
        <v>928</v>
      </c>
      <c r="J102" s="18" t="s">
        <v>1131</v>
      </c>
    </row>
    <row r="103" ht="33.75" customHeight="true" spans="1:10">
      <c r="A103" s="18" t="s">
        <v>543</v>
      </c>
      <c r="B103" s="18" t="s">
        <v>1122</v>
      </c>
      <c r="C103" s="18" t="s">
        <v>922</v>
      </c>
      <c r="D103" s="18" t="s">
        <v>923</v>
      </c>
      <c r="E103" s="18" t="s">
        <v>939</v>
      </c>
      <c r="F103" s="18" t="s">
        <v>925</v>
      </c>
      <c r="G103" s="41" t="s">
        <v>1132</v>
      </c>
      <c r="H103" s="18" t="s">
        <v>952</v>
      </c>
      <c r="I103" s="18" t="s">
        <v>928</v>
      </c>
      <c r="J103" s="18" t="s">
        <v>1133</v>
      </c>
    </row>
    <row r="104" ht="33.75" customHeight="true" spans="1:10">
      <c r="A104" s="18" t="s">
        <v>543</v>
      </c>
      <c r="B104" s="18" t="s">
        <v>1122</v>
      </c>
      <c r="C104" s="18" t="s">
        <v>922</v>
      </c>
      <c r="D104" s="18" t="s">
        <v>923</v>
      </c>
      <c r="E104" s="18" t="s">
        <v>1134</v>
      </c>
      <c r="F104" s="18" t="s">
        <v>925</v>
      </c>
      <c r="G104" s="41" t="s">
        <v>1135</v>
      </c>
      <c r="H104" s="18" t="s">
        <v>952</v>
      </c>
      <c r="I104" s="18" t="s">
        <v>928</v>
      </c>
      <c r="J104" s="18" t="s">
        <v>1134</v>
      </c>
    </row>
    <row r="105" ht="33.75" customHeight="true" spans="1:10">
      <c r="A105" s="18" t="s">
        <v>543</v>
      </c>
      <c r="B105" s="18" t="s">
        <v>1122</v>
      </c>
      <c r="C105" s="18" t="s">
        <v>922</v>
      </c>
      <c r="D105" s="18" t="s">
        <v>933</v>
      </c>
      <c r="E105" s="18" t="s">
        <v>1136</v>
      </c>
      <c r="F105" s="18" t="s">
        <v>925</v>
      </c>
      <c r="G105" s="41" t="s">
        <v>935</v>
      </c>
      <c r="H105" s="18" t="s">
        <v>927</v>
      </c>
      <c r="I105" s="18" t="s">
        <v>928</v>
      </c>
      <c r="J105" s="18" t="s">
        <v>1137</v>
      </c>
    </row>
    <row r="106" ht="33.75" customHeight="true" spans="1:10">
      <c r="A106" s="18" t="s">
        <v>543</v>
      </c>
      <c r="B106" s="18" t="s">
        <v>1122</v>
      </c>
      <c r="C106" s="18" t="s">
        <v>922</v>
      </c>
      <c r="D106" s="18" t="s">
        <v>933</v>
      </c>
      <c r="E106" s="18" t="s">
        <v>1138</v>
      </c>
      <c r="F106" s="18" t="s">
        <v>925</v>
      </c>
      <c r="G106" s="41" t="s">
        <v>963</v>
      </c>
      <c r="H106" s="18" t="s">
        <v>927</v>
      </c>
      <c r="I106" s="18" t="s">
        <v>928</v>
      </c>
      <c r="J106" s="18" t="s">
        <v>1139</v>
      </c>
    </row>
    <row r="107" ht="33.75" customHeight="true" spans="1:10">
      <c r="A107" s="18" t="s">
        <v>543</v>
      </c>
      <c r="B107" s="18" t="s">
        <v>1122</v>
      </c>
      <c r="C107" s="18" t="s">
        <v>922</v>
      </c>
      <c r="D107" s="18" t="s">
        <v>933</v>
      </c>
      <c r="E107" s="18" t="s">
        <v>1072</v>
      </c>
      <c r="F107" s="18" t="s">
        <v>925</v>
      </c>
      <c r="G107" s="41" t="s">
        <v>935</v>
      </c>
      <c r="H107" s="18" t="s">
        <v>927</v>
      </c>
      <c r="I107" s="18" t="s">
        <v>928</v>
      </c>
      <c r="J107" s="18" t="s">
        <v>1140</v>
      </c>
    </row>
    <row r="108" ht="33.75" customHeight="true" spans="1:10">
      <c r="A108" s="18" t="s">
        <v>543</v>
      </c>
      <c r="B108" s="18" t="s">
        <v>1122</v>
      </c>
      <c r="C108" s="18" t="s">
        <v>922</v>
      </c>
      <c r="D108" s="18" t="s">
        <v>933</v>
      </c>
      <c r="E108" s="18" t="s">
        <v>1141</v>
      </c>
      <c r="F108" s="18" t="s">
        <v>925</v>
      </c>
      <c r="G108" s="41" t="s">
        <v>935</v>
      </c>
      <c r="H108" s="18" t="s">
        <v>927</v>
      </c>
      <c r="I108" s="18" t="s">
        <v>928</v>
      </c>
      <c r="J108" s="18" t="s">
        <v>1142</v>
      </c>
    </row>
    <row r="109" ht="33.75" customHeight="true" spans="1:10">
      <c r="A109" s="18" t="s">
        <v>543</v>
      </c>
      <c r="B109" s="18" t="s">
        <v>1122</v>
      </c>
      <c r="C109" s="18" t="s">
        <v>922</v>
      </c>
      <c r="D109" s="18" t="s">
        <v>936</v>
      </c>
      <c r="E109" s="18" t="s">
        <v>1143</v>
      </c>
      <c r="F109" s="18" t="s">
        <v>925</v>
      </c>
      <c r="G109" s="41" t="s">
        <v>935</v>
      </c>
      <c r="H109" s="18" t="s">
        <v>927</v>
      </c>
      <c r="I109" s="18" t="s">
        <v>928</v>
      </c>
      <c r="J109" s="18" t="s">
        <v>1144</v>
      </c>
    </row>
    <row r="110" ht="33.75" customHeight="true" spans="1:10">
      <c r="A110" s="18" t="s">
        <v>543</v>
      </c>
      <c r="B110" s="18" t="s">
        <v>1122</v>
      </c>
      <c r="C110" s="18" t="s">
        <v>940</v>
      </c>
      <c r="D110" s="18" t="s">
        <v>941</v>
      </c>
      <c r="E110" s="18" t="s">
        <v>1145</v>
      </c>
      <c r="F110" s="18" t="s">
        <v>938</v>
      </c>
      <c r="G110" s="41" t="s">
        <v>939</v>
      </c>
      <c r="H110" s="18" t="s">
        <v>927</v>
      </c>
      <c r="I110" s="18" t="s">
        <v>928</v>
      </c>
      <c r="J110" s="18" t="s">
        <v>1146</v>
      </c>
    </row>
    <row r="111" ht="33.75" customHeight="true" spans="1:10">
      <c r="A111" s="18" t="s">
        <v>543</v>
      </c>
      <c r="B111" s="18" t="s">
        <v>1122</v>
      </c>
      <c r="C111" s="18" t="s">
        <v>940</v>
      </c>
      <c r="D111" s="18" t="s">
        <v>941</v>
      </c>
      <c r="E111" s="18" t="s">
        <v>1147</v>
      </c>
      <c r="F111" s="18" t="s">
        <v>938</v>
      </c>
      <c r="G111" s="41" t="s">
        <v>939</v>
      </c>
      <c r="H111" s="18" t="s">
        <v>927</v>
      </c>
      <c r="I111" s="18" t="s">
        <v>928</v>
      </c>
      <c r="J111" s="18" t="s">
        <v>1146</v>
      </c>
    </row>
    <row r="112" ht="33.75" customHeight="true" spans="1:10">
      <c r="A112" s="18" t="s">
        <v>543</v>
      </c>
      <c r="B112" s="18" t="s">
        <v>1122</v>
      </c>
      <c r="C112" s="18" t="s">
        <v>944</v>
      </c>
      <c r="D112" s="18" t="s">
        <v>945</v>
      </c>
      <c r="E112" s="18" t="s">
        <v>1148</v>
      </c>
      <c r="F112" s="18" t="s">
        <v>925</v>
      </c>
      <c r="G112" s="41" t="s">
        <v>943</v>
      </c>
      <c r="H112" s="18" t="s">
        <v>927</v>
      </c>
      <c r="I112" s="18" t="s">
        <v>928</v>
      </c>
      <c r="J112" s="18" t="s">
        <v>1149</v>
      </c>
    </row>
    <row r="113" ht="66" customHeight="true" spans="1:10">
      <c r="A113" s="18" t="s">
        <v>552</v>
      </c>
      <c r="B113" s="77" t="s">
        <v>1731</v>
      </c>
      <c r="C113" s="18" t="s">
        <v>922</v>
      </c>
      <c r="D113" s="18" t="s">
        <v>923</v>
      </c>
      <c r="E113" s="18" t="s">
        <v>1151</v>
      </c>
      <c r="F113" s="18" t="s">
        <v>985</v>
      </c>
      <c r="G113" s="41" t="s">
        <v>1152</v>
      </c>
      <c r="H113" s="18" t="s">
        <v>952</v>
      </c>
      <c r="I113" s="18" t="s">
        <v>928</v>
      </c>
      <c r="J113" s="18" t="s">
        <v>1153</v>
      </c>
    </row>
    <row r="114" ht="66" customHeight="true" spans="1:10">
      <c r="A114" s="18" t="s">
        <v>552</v>
      </c>
      <c r="B114" s="78"/>
      <c r="C114" s="18" t="s">
        <v>922</v>
      </c>
      <c r="D114" s="18" t="s">
        <v>923</v>
      </c>
      <c r="E114" s="18" t="s">
        <v>1154</v>
      </c>
      <c r="F114" s="18" t="s">
        <v>985</v>
      </c>
      <c r="G114" s="41" t="s">
        <v>1155</v>
      </c>
      <c r="H114" s="18" t="s">
        <v>952</v>
      </c>
      <c r="I114" s="18" t="s">
        <v>928</v>
      </c>
      <c r="J114" s="18" t="s">
        <v>1156</v>
      </c>
    </row>
    <row r="115" ht="66" customHeight="true" spans="1:10">
      <c r="A115" s="18" t="s">
        <v>552</v>
      </c>
      <c r="B115" s="78"/>
      <c r="C115" s="18" t="s">
        <v>922</v>
      </c>
      <c r="D115" s="18" t="s">
        <v>923</v>
      </c>
      <c r="E115" s="18" t="s">
        <v>1157</v>
      </c>
      <c r="F115" s="18" t="s">
        <v>925</v>
      </c>
      <c r="G115" s="41" t="s">
        <v>976</v>
      </c>
      <c r="H115" s="18" t="s">
        <v>1158</v>
      </c>
      <c r="I115" s="18" t="s">
        <v>928</v>
      </c>
      <c r="J115" s="18" t="s">
        <v>1159</v>
      </c>
    </row>
    <row r="116" ht="66" customHeight="true" spans="1:10">
      <c r="A116" s="18" t="s">
        <v>552</v>
      </c>
      <c r="B116" s="78"/>
      <c r="C116" s="18" t="s">
        <v>922</v>
      </c>
      <c r="D116" s="18" t="s">
        <v>923</v>
      </c>
      <c r="E116" s="18" t="s">
        <v>1160</v>
      </c>
      <c r="F116" s="18" t="s">
        <v>985</v>
      </c>
      <c r="G116" s="41" t="s">
        <v>52</v>
      </c>
      <c r="H116" s="18" t="s">
        <v>998</v>
      </c>
      <c r="I116" s="18" t="s">
        <v>928</v>
      </c>
      <c r="J116" s="18" t="s">
        <v>1161</v>
      </c>
    </row>
    <row r="117" ht="66" customHeight="true" spans="1:10">
      <c r="A117" s="18" t="s">
        <v>552</v>
      </c>
      <c r="B117" s="78"/>
      <c r="C117" s="18" t="s">
        <v>922</v>
      </c>
      <c r="D117" s="18" t="s">
        <v>933</v>
      </c>
      <c r="E117" s="18" t="s">
        <v>1073</v>
      </c>
      <c r="F117" s="18" t="s">
        <v>925</v>
      </c>
      <c r="G117" s="41" t="s">
        <v>935</v>
      </c>
      <c r="H117" s="18" t="s">
        <v>927</v>
      </c>
      <c r="I117" s="18" t="s">
        <v>928</v>
      </c>
      <c r="J117" s="18" t="s">
        <v>1162</v>
      </c>
    </row>
    <row r="118" ht="66" customHeight="true" spans="1:10">
      <c r="A118" s="18" t="s">
        <v>552</v>
      </c>
      <c r="B118" s="78"/>
      <c r="C118" s="18" t="s">
        <v>922</v>
      </c>
      <c r="D118" s="18" t="s">
        <v>933</v>
      </c>
      <c r="E118" s="18" t="s">
        <v>1071</v>
      </c>
      <c r="F118" s="18" t="s">
        <v>925</v>
      </c>
      <c r="G118" s="41" t="s">
        <v>935</v>
      </c>
      <c r="H118" s="18" t="s">
        <v>927</v>
      </c>
      <c r="I118" s="18" t="s">
        <v>928</v>
      </c>
      <c r="J118" s="18" t="s">
        <v>1163</v>
      </c>
    </row>
    <row r="119" ht="66" customHeight="true" spans="1:10">
      <c r="A119" s="18" t="s">
        <v>552</v>
      </c>
      <c r="B119" s="78"/>
      <c r="C119" s="18" t="s">
        <v>922</v>
      </c>
      <c r="D119" s="18" t="s">
        <v>936</v>
      </c>
      <c r="E119" s="18" t="s">
        <v>1164</v>
      </c>
      <c r="F119" s="18" t="s">
        <v>938</v>
      </c>
      <c r="G119" s="41" t="s">
        <v>939</v>
      </c>
      <c r="H119" s="18" t="s">
        <v>927</v>
      </c>
      <c r="I119" s="18" t="s">
        <v>928</v>
      </c>
      <c r="J119" s="18" t="s">
        <v>1165</v>
      </c>
    </row>
    <row r="120" ht="66" customHeight="true" spans="1:10">
      <c r="A120" s="18" t="s">
        <v>552</v>
      </c>
      <c r="B120" s="78"/>
      <c r="C120" s="18" t="s">
        <v>940</v>
      </c>
      <c r="D120" s="18" t="s">
        <v>941</v>
      </c>
      <c r="E120" s="18" t="s">
        <v>1070</v>
      </c>
      <c r="F120" s="18" t="s">
        <v>925</v>
      </c>
      <c r="G120" s="41" t="s">
        <v>935</v>
      </c>
      <c r="H120" s="18" t="s">
        <v>927</v>
      </c>
      <c r="I120" s="18" t="s">
        <v>928</v>
      </c>
      <c r="J120" s="18" t="s">
        <v>1166</v>
      </c>
    </row>
    <row r="121" ht="66" customHeight="true" spans="1:10">
      <c r="A121" s="18" t="s">
        <v>552</v>
      </c>
      <c r="B121" s="78"/>
      <c r="C121" s="18" t="s">
        <v>940</v>
      </c>
      <c r="D121" s="18" t="s">
        <v>941</v>
      </c>
      <c r="E121" s="18" t="s">
        <v>1167</v>
      </c>
      <c r="F121" s="18" t="s">
        <v>925</v>
      </c>
      <c r="G121" s="41" t="s">
        <v>926</v>
      </c>
      <c r="H121" s="18" t="s">
        <v>927</v>
      </c>
      <c r="I121" s="18" t="s">
        <v>928</v>
      </c>
      <c r="J121" s="18" t="s">
        <v>1168</v>
      </c>
    </row>
    <row r="122" ht="66" customHeight="true" spans="1:10">
      <c r="A122" s="18" t="s">
        <v>552</v>
      </c>
      <c r="B122" s="79"/>
      <c r="C122" s="18" t="s">
        <v>944</v>
      </c>
      <c r="D122" s="18" t="s">
        <v>945</v>
      </c>
      <c r="E122" s="18" t="s">
        <v>1169</v>
      </c>
      <c r="F122" s="18" t="s">
        <v>925</v>
      </c>
      <c r="G122" s="41" t="s">
        <v>963</v>
      </c>
      <c r="H122" s="18" t="s">
        <v>927</v>
      </c>
      <c r="I122" s="18" t="s">
        <v>928</v>
      </c>
      <c r="J122" s="18" t="s">
        <v>1170</v>
      </c>
    </row>
    <row r="123" ht="33.75" customHeight="true" spans="1:10">
      <c r="A123" s="18" t="s">
        <v>550</v>
      </c>
      <c r="B123" s="18" t="s">
        <v>1171</v>
      </c>
      <c r="C123" s="18" t="s">
        <v>922</v>
      </c>
      <c r="D123" s="18" t="s">
        <v>923</v>
      </c>
      <c r="E123" s="18" t="s">
        <v>1111</v>
      </c>
      <c r="F123" s="18" t="s">
        <v>925</v>
      </c>
      <c r="G123" s="41" t="s">
        <v>935</v>
      </c>
      <c r="H123" s="18" t="s">
        <v>927</v>
      </c>
      <c r="I123" s="18" t="s">
        <v>928</v>
      </c>
      <c r="J123" s="18" t="s">
        <v>1112</v>
      </c>
    </row>
    <row r="124" ht="33.75" customHeight="true" spans="1:10">
      <c r="A124" s="18" t="s">
        <v>550</v>
      </c>
      <c r="B124" s="18" t="s">
        <v>1171</v>
      </c>
      <c r="C124" s="18" t="s">
        <v>922</v>
      </c>
      <c r="D124" s="18" t="s">
        <v>933</v>
      </c>
      <c r="E124" s="18" t="s">
        <v>1172</v>
      </c>
      <c r="F124" s="18" t="s">
        <v>938</v>
      </c>
      <c r="G124" s="41" t="s">
        <v>939</v>
      </c>
      <c r="H124" s="18" t="s">
        <v>927</v>
      </c>
      <c r="I124" s="18" t="s">
        <v>928</v>
      </c>
      <c r="J124" s="18" t="s">
        <v>1172</v>
      </c>
    </row>
    <row r="125" ht="33.75" customHeight="true" spans="1:10">
      <c r="A125" s="18" t="s">
        <v>550</v>
      </c>
      <c r="B125" s="18" t="s">
        <v>1171</v>
      </c>
      <c r="C125" s="18" t="s">
        <v>922</v>
      </c>
      <c r="D125" s="18" t="s">
        <v>933</v>
      </c>
      <c r="E125" s="18" t="s">
        <v>1173</v>
      </c>
      <c r="F125" s="18" t="s">
        <v>925</v>
      </c>
      <c r="G125" s="41" t="s">
        <v>1174</v>
      </c>
      <c r="H125" s="18" t="s">
        <v>927</v>
      </c>
      <c r="I125" s="18" t="s">
        <v>928</v>
      </c>
      <c r="J125" s="18" t="s">
        <v>1175</v>
      </c>
    </row>
    <row r="126" ht="33.75" customHeight="true" spans="1:10">
      <c r="A126" s="18" t="s">
        <v>550</v>
      </c>
      <c r="B126" s="18" t="s">
        <v>1171</v>
      </c>
      <c r="C126" s="18" t="s">
        <v>922</v>
      </c>
      <c r="D126" s="18" t="s">
        <v>933</v>
      </c>
      <c r="E126" s="18" t="s">
        <v>1176</v>
      </c>
      <c r="F126" s="18" t="s">
        <v>925</v>
      </c>
      <c r="G126" s="41" t="s">
        <v>963</v>
      </c>
      <c r="H126" s="18" t="s">
        <v>927</v>
      </c>
      <c r="I126" s="18" t="s">
        <v>928</v>
      </c>
      <c r="J126" s="18" t="s">
        <v>1177</v>
      </c>
    </row>
    <row r="127" ht="33.75" customHeight="true" spans="1:10">
      <c r="A127" s="18" t="s">
        <v>550</v>
      </c>
      <c r="B127" s="18" t="s">
        <v>1171</v>
      </c>
      <c r="C127" s="18" t="s">
        <v>922</v>
      </c>
      <c r="D127" s="18" t="s">
        <v>936</v>
      </c>
      <c r="E127" s="18" t="s">
        <v>1178</v>
      </c>
      <c r="F127" s="18" t="s">
        <v>985</v>
      </c>
      <c r="G127" s="41" t="s">
        <v>986</v>
      </c>
      <c r="H127" s="18" t="s">
        <v>987</v>
      </c>
      <c r="I127" s="18" t="s">
        <v>928</v>
      </c>
      <c r="J127" s="18" t="s">
        <v>1179</v>
      </c>
    </row>
    <row r="128" ht="33.75" customHeight="true" spans="1:10">
      <c r="A128" s="18" t="s">
        <v>550</v>
      </c>
      <c r="B128" s="18" t="s">
        <v>1171</v>
      </c>
      <c r="C128" s="18" t="s">
        <v>940</v>
      </c>
      <c r="D128" s="18" t="s">
        <v>941</v>
      </c>
      <c r="E128" s="18" t="s">
        <v>1117</v>
      </c>
      <c r="F128" s="18" t="s">
        <v>925</v>
      </c>
      <c r="G128" s="41" t="s">
        <v>1180</v>
      </c>
      <c r="H128" s="18" t="s">
        <v>995</v>
      </c>
      <c r="I128" s="18" t="s">
        <v>928</v>
      </c>
      <c r="J128" s="18" t="s">
        <v>1119</v>
      </c>
    </row>
    <row r="129" ht="33.75" customHeight="true" spans="1:10">
      <c r="A129" s="18" t="s">
        <v>550</v>
      </c>
      <c r="B129" s="18" t="s">
        <v>1171</v>
      </c>
      <c r="C129" s="18" t="s">
        <v>944</v>
      </c>
      <c r="D129" s="18" t="s">
        <v>945</v>
      </c>
      <c r="E129" s="18" t="s">
        <v>1120</v>
      </c>
      <c r="F129" s="18" t="s">
        <v>925</v>
      </c>
      <c r="G129" s="41" t="s">
        <v>935</v>
      </c>
      <c r="H129" s="18" t="s">
        <v>927</v>
      </c>
      <c r="I129" s="18" t="s">
        <v>928</v>
      </c>
      <c r="J129" s="18" t="s">
        <v>1121</v>
      </c>
    </row>
    <row r="130" ht="33.75" customHeight="true" spans="1:10">
      <c r="A130" s="18" t="s">
        <v>583</v>
      </c>
      <c r="B130" s="18" t="s">
        <v>1214</v>
      </c>
      <c r="C130" s="18" t="s">
        <v>922</v>
      </c>
      <c r="D130" s="18" t="s">
        <v>923</v>
      </c>
      <c r="E130" s="18" t="s">
        <v>1215</v>
      </c>
      <c r="F130" s="18" t="s">
        <v>938</v>
      </c>
      <c r="G130" s="41" t="s">
        <v>1216</v>
      </c>
      <c r="H130" s="18" t="s">
        <v>952</v>
      </c>
      <c r="I130" s="18" t="s">
        <v>928</v>
      </c>
      <c r="J130" s="18" t="s">
        <v>929</v>
      </c>
    </row>
    <row r="131" ht="33.75" customHeight="true" spans="1:10">
      <c r="A131" s="18" t="s">
        <v>583</v>
      </c>
      <c r="B131" s="18" t="s">
        <v>1214</v>
      </c>
      <c r="C131" s="18" t="s">
        <v>922</v>
      </c>
      <c r="D131" s="18" t="s">
        <v>923</v>
      </c>
      <c r="E131" s="18" t="s">
        <v>1217</v>
      </c>
      <c r="F131" s="18" t="s">
        <v>938</v>
      </c>
      <c r="G131" s="41" t="s">
        <v>1218</v>
      </c>
      <c r="H131" s="18" t="s">
        <v>952</v>
      </c>
      <c r="I131" s="18" t="s">
        <v>928</v>
      </c>
      <c r="J131" s="18" t="s">
        <v>929</v>
      </c>
    </row>
    <row r="132" ht="33.75" customHeight="true" spans="1:10">
      <c r="A132" s="18" t="s">
        <v>583</v>
      </c>
      <c r="B132" s="18" t="s">
        <v>1214</v>
      </c>
      <c r="C132" s="18" t="s">
        <v>922</v>
      </c>
      <c r="D132" s="18" t="s">
        <v>923</v>
      </c>
      <c r="E132" s="18" t="s">
        <v>1219</v>
      </c>
      <c r="F132" s="18" t="s">
        <v>938</v>
      </c>
      <c r="G132" s="41" t="s">
        <v>1220</v>
      </c>
      <c r="H132" s="18" t="s">
        <v>952</v>
      </c>
      <c r="I132" s="18" t="s">
        <v>928</v>
      </c>
      <c r="J132" s="18" t="s">
        <v>929</v>
      </c>
    </row>
    <row r="133" ht="33.75" customHeight="true" spans="1:10">
      <c r="A133" s="18" t="s">
        <v>583</v>
      </c>
      <c r="B133" s="18" t="s">
        <v>1214</v>
      </c>
      <c r="C133" s="18" t="s">
        <v>922</v>
      </c>
      <c r="D133" s="18" t="s">
        <v>923</v>
      </c>
      <c r="E133" s="18" t="s">
        <v>1221</v>
      </c>
      <c r="F133" s="18" t="s">
        <v>938</v>
      </c>
      <c r="G133" s="41" t="s">
        <v>1222</v>
      </c>
      <c r="H133" s="18" t="s">
        <v>952</v>
      </c>
      <c r="I133" s="18" t="s">
        <v>928</v>
      </c>
      <c r="J133" s="18" t="s">
        <v>929</v>
      </c>
    </row>
    <row r="134" ht="33.75" customHeight="true" spans="1:10">
      <c r="A134" s="18" t="s">
        <v>583</v>
      </c>
      <c r="B134" s="18" t="s">
        <v>1214</v>
      </c>
      <c r="C134" s="18" t="s">
        <v>922</v>
      </c>
      <c r="D134" s="18" t="s">
        <v>933</v>
      </c>
      <c r="E134" s="18" t="s">
        <v>1223</v>
      </c>
      <c r="F134" s="18" t="s">
        <v>938</v>
      </c>
      <c r="G134" s="41" t="s">
        <v>939</v>
      </c>
      <c r="H134" s="18" t="s">
        <v>927</v>
      </c>
      <c r="I134" s="18" t="s">
        <v>928</v>
      </c>
      <c r="J134" s="18" t="s">
        <v>929</v>
      </c>
    </row>
    <row r="135" ht="33.75" customHeight="true" spans="1:10">
      <c r="A135" s="18" t="s">
        <v>583</v>
      </c>
      <c r="B135" s="18" t="s">
        <v>1214</v>
      </c>
      <c r="C135" s="18" t="s">
        <v>922</v>
      </c>
      <c r="D135" s="18" t="s">
        <v>933</v>
      </c>
      <c r="E135" s="18" t="s">
        <v>1005</v>
      </c>
      <c r="F135" s="18" t="s">
        <v>938</v>
      </c>
      <c r="G135" s="41" t="s">
        <v>939</v>
      </c>
      <c r="H135" s="18" t="s">
        <v>927</v>
      </c>
      <c r="I135" s="18" t="s">
        <v>928</v>
      </c>
      <c r="J135" s="18" t="s">
        <v>929</v>
      </c>
    </row>
    <row r="136" ht="33.75" customHeight="true" spans="1:10">
      <c r="A136" s="18" t="s">
        <v>583</v>
      </c>
      <c r="B136" s="18" t="s">
        <v>1214</v>
      </c>
      <c r="C136" s="18" t="s">
        <v>922</v>
      </c>
      <c r="D136" s="18" t="s">
        <v>936</v>
      </c>
      <c r="E136" s="18" t="s">
        <v>1003</v>
      </c>
      <c r="F136" s="18" t="s">
        <v>938</v>
      </c>
      <c r="G136" s="41" t="s">
        <v>939</v>
      </c>
      <c r="H136" s="18" t="s">
        <v>927</v>
      </c>
      <c r="I136" s="18" t="s">
        <v>928</v>
      </c>
      <c r="J136" s="18" t="s">
        <v>929</v>
      </c>
    </row>
    <row r="137" ht="33.75" customHeight="true" spans="1:10">
      <c r="A137" s="18" t="s">
        <v>583</v>
      </c>
      <c r="B137" s="18" t="s">
        <v>1214</v>
      </c>
      <c r="C137" s="18" t="s">
        <v>940</v>
      </c>
      <c r="D137" s="18" t="s">
        <v>941</v>
      </c>
      <c r="E137" s="18" t="s">
        <v>1224</v>
      </c>
      <c r="F137" s="18" t="s">
        <v>938</v>
      </c>
      <c r="G137" s="41" t="s">
        <v>1017</v>
      </c>
      <c r="H137" s="18"/>
      <c r="I137" s="18" t="s">
        <v>956</v>
      </c>
      <c r="J137" s="18" t="s">
        <v>929</v>
      </c>
    </row>
    <row r="138" ht="33.75" customHeight="true" spans="1:10">
      <c r="A138" s="18" t="s">
        <v>583</v>
      </c>
      <c r="B138" s="18" t="s">
        <v>1214</v>
      </c>
      <c r="C138" s="18" t="s">
        <v>940</v>
      </c>
      <c r="D138" s="18" t="s">
        <v>941</v>
      </c>
      <c r="E138" s="18" t="s">
        <v>1067</v>
      </c>
      <c r="F138" s="18" t="s">
        <v>938</v>
      </c>
      <c r="G138" s="41" t="s">
        <v>1017</v>
      </c>
      <c r="H138" s="18"/>
      <c r="I138" s="18" t="s">
        <v>956</v>
      </c>
      <c r="J138" s="18" t="s">
        <v>929</v>
      </c>
    </row>
    <row r="139" ht="33.75" customHeight="true" spans="1:10">
      <c r="A139" s="18" t="s">
        <v>583</v>
      </c>
      <c r="B139" s="18" t="s">
        <v>1214</v>
      </c>
      <c r="C139" s="18" t="s">
        <v>944</v>
      </c>
      <c r="D139" s="18" t="s">
        <v>945</v>
      </c>
      <c r="E139" s="18" t="s">
        <v>1225</v>
      </c>
      <c r="F139" s="18" t="s">
        <v>938</v>
      </c>
      <c r="G139" s="41" t="s">
        <v>943</v>
      </c>
      <c r="H139" s="18" t="s">
        <v>927</v>
      </c>
      <c r="I139" s="18" t="s">
        <v>928</v>
      </c>
      <c r="J139" s="18" t="s">
        <v>929</v>
      </c>
    </row>
    <row r="140" ht="33.75" customHeight="true" spans="1:10">
      <c r="A140" s="18" t="s">
        <v>556</v>
      </c>
      <c r="B140" s="18" t="s">
        <v>1226</v>
      </c>
      <c r="C140" s="18" t="s">
        <v>922</v>
      </c>
      <c r="D140" s="18" t="s">
        <v>923</v>
      </c>
      <c r="E140" s="18" t="s">
        <v>1160</v>
      </c>
      <c r="F140" s="18" t="s">
        <v>925</v>
      </c>
      <c r="G140" s="41" t="s">
        <v>52</v>
      </c>
      <c r="H140" s="18" t="s">
        <v>998</v>
      </c>
      <c r="I140" s="18" t="s">
        <v>928</v>
      </c>
      <c r="J140" s="18" t="s">
        <v>1227</v>
      </c>
    </row>
    <row r="141" ht="33.75" customHeight="true" spans="1:10">
      <c r="A141" s="18" t="s">
        <v>556</v>
      </c>
      <c r="B141" s="18" t="s">
        <v>1226</v>
      </c>
      <c r="C141" s="18" t="s">
        <v>922</v>
      </c>
      <c r="D141" s="18" t="s">
        <v>923</v>
      </c>
      <c r="E141" s="18" t="s">
        <v>1228</v>
      </c>
      <c r="F141" s="18" t="s">
        <v>985</v>
      </c>
      <c r="G141" s="41" t="s">
        <v>1229</v>
      </c>
      <c r="H141" s="18" t="s">
        <v>952</v>
      </c>
      <c r="I141" s="18" t="s">
        <v>928</v>
      </c>
      <c r="J141" s="18" t="s">
        <v>1230</v>
      </c>
    </row>
    <row r="142" ht="33.75" customHeight="true" spans="1:10">
      <c r="A142" s="18" t="s">
        <v>556</v>
      </c>
      <c r="B142" s="18" t="s">
        <v>1226</v>
      </c>
      <c r="C142" s="18" t="s">
        <v>922</v>
      </c>
      <c r="D142" s="18" t="s">
        <v>923</v>
      </c>
      <c r="E142" s="18" t="s">
        <v>1231</v>
      </c>
      <c r="F142" s="18" t="s">
        <v>985</v>
      </c>
      <c r="G142" s="41" t="s">
        <v>1232</v>
      </c>
      <c r="H142" s="18" t="s">
        <v>952</v>
      </c>
      <c r="I142" s="18" t="s">
        <v>928</v>
      </c>
      <c r="J142" s="18" t="s">
        <v>1230</v>
      </c>
    </row>
    <row r="143" ht="33.75" customHeight="true" spans="1:10">
      <c r="A143" s="18" t="s">
        <v>556</v>
      </c>
      <c r="B143" s="18" t="s">
        <v>1226</v>
      </c>
      <c r="C143" s="18" t="s">
        <v>922</v>
      </c>
      <c r="D143" s="18" t="s">
        <v>923</v>
      </c>
      <c r="E143" s="18" t="s">
        <v>1233</v>
      </c>
      <c r="F143" s="18" t="s">
        <v>985</v>
      </c>
      <c r="G143" s="41" t="s">
        <v>1234</v>
      </c>
      <c r="H143" s="18" t="s">
        <v>952</v>
      </c>
      <c r="I143" s="18" t="s">
        <v>928</v>
      </c>
      <c r="J143" s="18" t="s">
        <v>1230</v>
      </c>
    </row>
    <row r="144" ht="33.75" customHeight="true" spans="1:10">
      <c r="A144" s="18" t="s">
        <v>556</v>
      </c>
      <c r="B144" s="18" t="s">
        <v>1226</v>
      </c>
      <c r="C144" s="18" t="s">
        <v>922</v>
      </c>
      <c r="D144" s="18" t="s">
        <v>923</v>
      </c>
      <c r="E144" s="18" t="s">
        <v>1235</v>
      </c>
      <c r="F144" s="18" t="s">
        <v>985</v>
      </c>
      <c r="G144" s="41" t="s">
        <v>1236</v>
      </c>
      <c r="H144" s="18" t="s">
        <v>952</v>
      </c>
      <c r="I144" s="18" t="s">
        <v>928</v>
      </c>
      <c r="J144" s="18" t="s">
        <v>1230</v>
      </c>
    </row>
    <row r="145" ht="33.75" customHeight="true" spans="1:10">
      <c r="A145" s="18" t="s">
        <v>556</v>
      </c>
      <c r="B145" s="18" t="s">
        <v>1226</v>
      </c>
      <c r="C145" s="18" t="s">
        <v>922</v>
      </c>
      <c r="D145" s="18" t="s">
        <v>923</v>
      </c>
      <c r="E145" s="18" t="s">
        <v>1237</v>
      </c>
      <c r="F145" s="18" t="s">
        <v>985</v>
      </c>
      <c r="G145" s="41" t="s">
        <v>1238</v>
      </c>
      <c r="H145" s="18" t="s">
        <v>952</v>
      </c>
      <c r="I145" s="18" t="s">
        <v>928</v>
      </c>
      <c r="J145" s="18" t="s">
        <v>1239</v>
      </c>
    </row>
    <row r="146" ht="33.75" customHeight="true" spans="1:10">
      <c r="A146" s="18" t="s">
        <v>556</v>
      </c>
      <c r="B146" s="18" t="s">
        <v>1226</v>
      </c>
      <c r="C146" s="18" t="s">
        <v>922</v>
      </c>
      <c r="D146" s="18" t="s">
        <v>923</v>
      </c>
      <c r="E146" s="18" t="s">
        <v>1240</v>
      </c>
      <c r="F146" s="18" t="s">
        <v>985</v>
      </c>
      <c r="G146" s="41" t="s">
        <v>1241</v>
      </c>
      <c r="H146" s="18" t="s">
        <v>952</v>
      </c>
      <c r="I146" s="18" t="s">
        <v>928</v>
      </c>
      <c r="J146" s="18" t="s">
        <v>1239</v>
      </c>
    </row>
    <row r="147" ht="33.75" customHeight="true" spans="1:10">
      <c r="A147" s="18" t="s">
        <v>556</v>
      </c>
      <c r="B147" s="18" t="s">
        <v>1226</v>
      </c>
      <c r="C147" s="18" t="s">
        <v>922</v>
      </c>
      <c r="D147" s="18" t="s">
        <v>923</v>
      </c>
      <c r="E147" s="18" t="s">
        <v>1242</v>
      </c>
      <c r="F147" s="18" t="s">
        <v>938</v>
      </c>
      <c r="G147" s="41" t="s">
        <v>935</v>
      </c>
      <c r="H147" s="18" t="s">
        <v>998</v>
      </c>
      <c r="I147" s="18" t="s">
        <v>928</v>
      </c>
      <c r="J147" s="18" t="s">
        <v>1243</v>
      </c>
    </row>
    <row r="148" ht="33.75" customHeight="true" spans="1:10">
      <c r="A148" s="18" t="s">
        <v>556</v>
      </c>
      <c r="B148" s="18" t="s">
        <v>1226</v>
      </c>
      <c r="C148" s="18" t="s">
        <v>922</v>
      </c>
      <c r="D148" s="18" t="s">
        <v>933</v>
      </c>
      <c r="E148" s="18" t="s">
        <v>1244</v>
      </c>
      <c r="F148" s="18" t="s">
        <v>925</v>
      </c>
      <c r="G148" s="41" t="s">
        <v>939</v>
      </c>
      <c r="H148" s="18" t="s">
        <v>927</v>
      </c>
      <c r="I148" s="18" t="s">
        <v>928</v>
      </c>
      <c r="J148" s="18" t="s">
        <v>1245</v>
      </c>
    </row>
    <row r="149" ht="33.75" customHeight="true" spans="1:10">
      <c r="A149" s="18" t="s">
        <v>556</v>
      </c>
      <c r="B149" s="18" t="s">
        <v>1226</v>
      </c>
      <c r="C149" s="18" t="s">
        <v>922</v>
      </c>
      <c r="D149" s="18" t="s">
        <v>933</v>
      </c>
      <c r="E149" s="18" t="s">
        <v>1246</v>
      </c>
      <c r="F149" s="18" t="s">
        <v>925</v>
      </c>
      <c r="G149" s="41" t="s">
        <v>939</v>
      </c>
      <c r="H149" s="18" t="s">
        <v>927</v>
      </c>
      <c r="I149" s="18" t="s">
        <v>928</v>
      </c>
      <c r="J149" s="18" t="s">
        <v>1247</v>
      </c>
    </row>
    <row r="150" ht="33.75" customHeight="true" spans="1:10">
      <c r="A150" s="18" t="s">
        <v>556</v>
      </c>
      <c r="B150" s="18" t="s">
        <v>1226</v>
      </c>
      <c r="C150" s="18" t="s">
        <v>922</v>
      </c>
      <c r="D150" s="18" t="s">
        <v>936</v>
      </c>
      <c r="E150" s="18" t="s">
        <v>1003</v>
      </c>
      <c r="F150" s="18" t="s">
        <v>938</v>
      </c>
      <c r="G150" s="41" t="s">
        <v>939</v>
      </c>
      <c r="H150" s="18" t="s">
        <v>927</v>
      </c>
      <c r="I150" s="18" t="s">
        <v>928</v>
      </c>
      <c r="J150" s="18" t="s">
        <v>1248</v>
      </c>
    </row>
    <row r="151" ht="33.75" customHeight="true" spans="1:10">
      <c r="A151" s="18" t="s">
        <v>556</v>
      </c>
      <c r="B151" s="18" t="s">
        <v>1226</v>
      </c>
      <c r="C151" s="18" t="s">
        <v>940</v>
      </c>
      <c r="D151" s="18" t="s">
        <v>941</v>
      </c>
      <c r="E151" s="18" t="s">
        <v>1249</v>
      </c>
      <c r="F151" s="18" t="s">
        <v>925</v>
      </c>
      <c r="G151" s="41" t="s">
        <v>935</v>
      </c>
      <c r="H151" s="18" t="s">
        <v>927</v>
      </c>
      <c r="I151" s="18" t="s">
        <v>928</v>
      </c>
      <c r="J151" s="18" t="s">
        <v>1250</v>
      </c>
    </row>
    <row r="152" ht="33.75" customHeight="true" spans="1:10">
      <c r="A152" s="18" t="s">
        <v>556</v>
      </c>
      <c r="B152" s="18" t="s">
        <v>1226</v>
      </c>
      <c r="C152" s="18" t="s">
        <v>940</v>
      </c>
      <c r="D152" s="18" t="s">
        <v>941</v>
      </c>
      <c r="E152" s="18" t="s">
        <v>1251</v>
      </c>
      <c r="F152" s="18" t="s">
        <v>938</v>
      </c>
      <c r="G152" s="41" t="s">
        <v>1252</v>
      </c>
      <c r="H152" s="18"/>
      <c r="I152" s="18" t="s">
        <v>956</v>
      </c>
      <c r="J152" s="18" t="s">
        <v>1253</v>
      </c>
    </row>
    <row r="153" ht="33.75" customHeight="true" spans="1:10">
      <c r="A153" s="18" t="s">
        <v>556</v>
      </c>
      <c r="B153" s="18" t="s">
        <v>1226</v>
      </c>
      <c r="C153" s="18" t="s">
        <v>944</v>
      </c>
      <c r="D153" s="18" t="s">
        <v>945</v>
      </c>
      <c r="E153" s="18" t="s">
        <v>945</v>
      </c>
      <c r="F153" s="18" t="s">
        <v>925</v>
      </c>
      <c r="G153" s="41" t="s">
        <v>943</v>
      </c>
      <c r="H153" s="18" t="s">
        <v>927</v>
      </c>
      <c r="I153" s="18" t="s">
        <v>928</v>
      </c>
      <c r="J153" s="18" t="s">
        <v>1023</v>
      </c>
    </row>
    <row r="154" ht="33.75" customHeight="true" spans="1:10">
      <c r="A154" s="18" t="s">
        <v>617</v>
      </c>
      <c r="B154" s="18" t="s">
        <v>1254</v>
      </c>
      <c r="C154" s="18" t="s">
        <v>922</v>
      </c>
      <c r="D154" s="18" t="s">
        <v>923</v>
      </c>
      <c r="E154" s="18" t="s">
        <v>1206</v>
      </c>
      <c r="F154" s="18" t="s">
        <v>938</v>
      </c>
      <c r="G154" s="41" t="s">
        <v>48</v>
      </c>
      <c r="H154" s="18" t="s">
        <v>998</v>
      </c>
      <c r="I154" s="18" t="s">
        <v>928</v>
      </c>
      <c r="J154" s="18" t="s">
        <v>1207</v>
      </c>
    </row>
    <row r="155" ht="33.75" customHeight="true" spans="1:10">
      <c r="A155" s="18" t="s">
        <v>617</v>
      </c>
      <c r="B155" s="18" t="s">
        <v>1254</v>
      </c>
      <c r="C155" s="18" t="s">
        <v>922</v>
      </c>
      <c r="D155" s="18" t="s">
        <v>933</v>
      </c>
      <c r="E155" s="18" t="s">
        <v>1208</v>
      </c>
      <c r="F155" s="18" t="s">
        <v>938</v>
      </c>
      <c r="G155" s="41" t="s">
        <v>939</v>
      </c>
      <c r="H155" s="18" t="s">
        <v>927</v>
      </c>
      <c r="I155" s="18" t="s">
        <v>928</v>
      </c>
      <c r="J155" s="18" t="s">
        <v>1209</v>
      </c>
    </row>
    <row r="156" ht="33.75" customHeight="true" spans="1:10">
      <c r="A156" s="18" t="s">
        <v>617</v>
      </c>
      <c r="B156" s="18" t="s">
        <v>1254</v>
      </c>
      <c r="C156" s="18" t="s">
        <v>940</v>
      </c>
      <c r="D156" s="18" t="s">
        <v>941</v>
      </c>
      <c r="E156" s="18" t="s">
        <v>1210</v>
      </c>
      <c r="F156" s="18" t="s">
        <v>938</v>
      </c>
      <c r="G156" s="41" t="s">
        <v>939</v>
      </c>
      <c r="H156" s="18" t="s">
        <v>927</v>
      </c>
      <c r="I156" s="18" t="s">
        <v>928</v>
      </c>
      <c r="J156" s="18" t="s">
        <v>1211</v>
      </c>
    </row>
    <row r="157" ht="33.75" customHeight="true" spans="1:10">
      <c r="A157" s="18" t="s">
        <v>617</v>
      </c>
      <c r="B157" s="18" t="s">
        <v>1254</v>
      </c>
      <c r="C157" s="18" t="s">
        <v>940</v>
      </c>
      <c r="D157" s="18" t="s">
        <v>957</v>
      </c>
      <c r="E157" s="18" t="s">
        <v>1255</v>
      </c>
      <c r="F157" s="18" t="s">
        <v>1099</v>
      </c>
      <c r="G157" s="41" t="s">
        <v>963</v>
      </c>
      <c r="H157" s="18" t="s">
        <v>927</v>
      </c>
      <c r="I157" s="18" t="s">
        <v>928</v>
      </c>
      <c r="J157" s="18" t="s">
        <v>1256</v>
      </c>
    </row>
    <row r="158" ht="33.75" customHeight="true" spans="1:10">
      <c r="A158" s="18" t="s">
        <v>617</v>
      </c>
      <c r="B158" s="18" t="s">
        <v>1254</v>
      </c>
      <c r="C158" s="18" t="s">
        <v>944</v>
      </c>
      <c r="D158" s="18" t="s">
        <v>945</v>
      </c>
      <c r="E158" s="18" t="s">
        <v>1212</v>
      </c>
      <c r="F158" s="18" t="s">
        <v>925</v>
      </c>
      <c r="G158" s="41" t="s">
        <v>963</v>
      </c>
      <c r="H158" s="18" t="s">
        <v>927</v>
      </c>
      <c r="I158" s="18" t="s">
        <v>928</v>
      </c>
      <c r="J158" s="18" t="s">
        <v>1213</v>
      </c>
    </row>
    <row r="159" ht="33.75" customHeight="true" spans="1:10">
      <c r="A159" s="18" t="s">
        <v>575</v>
      </c>
      <c r="B159" s="18" t="s">
        <v>1271</v>
      </c>
      <c r="C159" s="18" t="s">
        <v>922</v>
      </c>
      <c r="D159" s="18" t="s">
        <v>923</v>
      </c>
      <c r="E159" s="18" t="s">
        <v>1215</v>
      </c>
      <c r="F159" s="18" t="s">
        <v>938</v>
      </c>
      <c r="G159" s="41" t="s">
        <v>1216</v>
      </c>
      <c r="H159" s="18" t="s">
        <v>952</v>
      </c>
      <c r="I159" s="18" t="s">
        <v>928</v>
      </c>
      <c r="J159" s="18" t="s">
        <v>929</v>
      </c>
    </row>
    <row r="160" ht="33.75" customHeight="true" spans="1:10">
      <c r="A160" s="18" t="s">
        <v>575</v>
      </c>
      <c r="B160" s="18" t="s">
        <v>1271</v>
      </c>
      <c r="C160" s="18" t="s">
        <v>922</v>
      </c>
      <c r="D160" s="18" t="s">
        <v>923</v>
      </c>
      <c r="E160" s="18" t="s">
        <v>1217</v>
      </c>
      <c r="F160" s="18" t="s">
        <v>938</v>
      </c>
      <c r="G160" s="41" t="s">
        <v>1218</v>
      </c>
      <c r="H160" s="18" t="s">
        <v>952</v>
      </c>
      <c r="I160" s="18" t="s">
        <v>928</v>
      </c>
      <c r="J160" s="18" t="s">
        <v>929</v>
      </c>
    </row>
    <row r="161" ht="33.75" customHeight="true" spans="1:10">
      <c r="A161" s="18" t="s">
        <v>575</v>
      </c>
      <c r="B161" s="18" t="s">
        <v>1271</v>
      </c>
      <c r="C161" s="18" t="s">
        <v>922</v>
      </c>
      <c r="D161" s="18" t="s">
        <v>923</v>
      </c>
      <c r="E161" s="18" t="s">
        <v>1219</v>
      </c>
      <c r="F161" s="18" t="s">
        <v>938</v>
      </c>
      <c r="G161" s="41" t="s">
        <v>1220</v>
      </c>
      <c r="H161" s="18" t="s">
        <v>952</v>
      </c>
      <c r="I161" s="18" t="s">
        <v>928</v>
      </c>
      <c r="J161" s="18" t="s">
        <v>929</v>
      </c>
    </row>
    <row r="162" ht="33.75" customHeight="true" spans="1:10">
      <c r="A162" s="18" t="s">
        <v>575</v>
      </c>
      <c r="B162" s="18" t="s">
        <v>1271</v>
      </c>
      <c r="C162" s="18" t="s">
        <v>922</v>
      </c>
      <c r="D162" s="18" t="s">
        <v>923</v>
      </c>
      <c r="E162" s="18" t="s">
        <v>1221</v>
      </c>
      <c r="F162" s="18" t="s">
        <v>938</v>
      </c>
      <c r="G162" s="41" t="s">
        <v>1222</v>
      </c>
      <c r="H162" s="18" t="s">
        <v>952</v>
      </c>
      <c r="I162" s="18" t="s">
        <v>928</v>
      </c>
      <c r="J162" s="18" t="s">
        <v>929</v>
      </c>
    </row>
    <row r="163" ht="33.75" customHeight="true" spans="1:10">
      <c r="A163" s="18" t="s">
        <v>575</v>
      </c>
      <c r="B163" s="18" t="s">
        <v>1271</v>
      </c>
      <c r="C163" s="18" t="s">
        <v>922</v>
      </c>
      <c r="D163" s="18" t="s">
        <v>933</v>
      </c>
      <c r="E163" s="18" t="s">
        <v>1005</v>
      </c>
      <c r="F163" s="18" t="s">
        <v>938</v>
      </c>
      <c r="G163" s="41" t="s">
        <v>939</v>
      </c>
      <c r="H163" s="18" t="s">
        <v>927</v>
      </c>
      <c r="I163" s="18" t="s">
        <v>928</v>
      </c>
      <c r="J163" s="18" t="s">
        <v>929</v>
      </c>
    </row>
    <row r="164" ht="33.75" customHeight="true" spans="1:10">
      <c r="A164" s="18" t="s">
        <v>575</v>
      </c>
      <c r="B164" s="18" t="s">
        <v>1271</v>
      </c>
      <c r="C164" s="18" t="s">
        <v>922</v>
      </c>
      <c r="D164" s="18" t="s">
        <v>936</v>
      </c>
      <c r="E164" s="18" t="s">
        <v>1003</v>
      </c>
      <c r="F164" s="18" t="s">
        <v>938</v>
      </c>
      <c r="G164" s="41" t="s">
        <v>939</v>
      </c>
      <c r="H164" s="18" t="s">
        <v>927</v>
      </c>
      <c r="I164" s="18" t="s">
        <v>928</v>
      </c>
      <c r="J164" s="18" t="s">
        <v>929</v>
      </c>
    </row>
    <row r="165" ht="33.75" customHeight="true" spans="1:10">
      <c r="A165" s="18" t="s">
        <v>575</v>
      </c>
      <c r="B165" s="18" t="s">
        <v>1271</v>
      </c>
      <c r="C165" s="18" t="s">
        <v>940</v>
      </c>
      <c r="D165" s="18" t="s">
        <v>941</v>
      </c>
      <c r="E165" s="18" t="s">
        <v>1224</v>
      </c>
      <c r="F165" s="18" t="s">
        <v>938</v>
      </c>
      <c r="G165" s="41" t="s">
        <v>1017</v>
      </c>
      <c r="H165" s="18"/>
      <c r="I165" s="18" t="s">
        <v>956</v>
      </c>
      <c r="J165" s="18" t="s">
        <v>929</v>
      </c>
    </row>
    <row r="166" ht="33.75" customHeight="true" spans="1:10">
      <c r="A166" s="18" t="s">
        <v>575</v>
      </c>
      <c r="B166" s="18" t="s">
        <v>1271</v>
      </c>
      <c r="C166" s="18" t="s">
        <v>940</v>
      </c>
      <c r="D166" s="18" t="s">
        <v>941</v>
      </c>
      <c r="E166" s="18" t="s">
        <v>1067</v>
      </c>
      <c r="F166" s="18" t="s">
        <v>938</v>
      </c>
      <c r="G166" s="41" t="s">
        <v>1017</v>
      </c>
      <c r="H166" s="18"/>
      <c r="I166" s="18" t="s">
        <v>956</v>
      </c>
      <c r="J166" s="18" t="s">
        <v>929</v>
      </c>
    </row>
    <row r="167" ht="33.75" customHeight="true" spans="1:10">
      <c r="A167" s="18" t="s">
        <v>575</v>
      </c>
      <c r="B167" s="18" t="s">
        <v>1271</v>
      </c>
      <c r="C167" s="18" t="s">
        <v>944</v>
      </c>
      <c r="D167" s="18" t="s">
        <v>945</v>
      </c>
      <c r="E167" s="18" t="s">
        <v>1225</v>
      </c>
      <c r="F167" s="18" t="s">
        <v>938</v>
      </c>
      <c r="G167" s="41" t="s">
        <v>943</v>
      </c>
      <c r="H167" s="18" t="s">
        <v>927</v>
      </c>
      <c r="I167" s="18" t="s">
        <v>928</v>
      </c>
      <c r="J167" s="18" t="s">
        <v>929</v>
      </c>
    </row>
    <row r="168" ht="33.75" customHeight="true" spans="1:10">
      <c r="A168" s="18" t="s">
        <v>588</v>
      </c>
      <c r="B168" s="18" t="s">
        <v>1272</v>
      </c>
      <c r="C168" s="18" t="s">
        <v>922</v>
      </c>
      <c r="D168" s="18" t="s">
        <v>923</v>
      </c>
      <c r="E168" s="18" t="s">
        <v>1273</v>
      </c>
      <c r="F168" s="18" t="s">
        <v>925</v>
      </c>
      <c r="G168" s="41" t="s">
        <v>1132</v>
      </c>
      <c r="H168" s="18" t="s">
        <v>952</v>
      </c>
      <c r="I168" s="18" t="s">
        <v>928</v>
      </c>
      <c r="J168" s="18" t="s">
        <v>1274</v>
      </c>
    </row>
    <row r="169" ht="33.75" customHeight="true" spans="1:10">
      <c r="A169" s="18" t="s">
        <v>588</v>
      </c>
      <c r="B169" s="18" t="s">
        <v>1272</v>
      </c>
      <c r="C169" s="18" t="s">
        <v>922</v>
      </c>
      <c r="D169" s="18" t="s">
        <v>923</v>
      </c>
      <c r="E169" s="18" t="s">
        <v>1275</v>
      </c>
      <c r="F169" s="18" t="s">
        <v>925</v>
      </c>
      <c r="G169" s="41" t="s">
        <v>44</v>
      </c>
      <c r="H169" s="18" t="s">
        <v>977</v>
      </c>
      <c r="I169" s="18" t="s">
        <v>928</v>
      </c>
      <c r="J169" s="18" t="s">
        <v>1276</v>
      </c>
    </row>
    <row r="170" ht="33.75" customHeight="true" spans="1:10">
      <c r="A170" s="18" t="s">
        <v>588</v>
      </c>
      <c r="B170" s="18" t="s">
        <v>1272</v>
      </c>
      <c r="C170" s="18" t="s">
        <v>922</v>
      </c>
      <c r="D170" s="18" t="s">
        <v>923</v>
      </c>
      <c r="E170" s="18" t="s">
        <v>1277</v>
      </c>
      <c r="F170" s="18" t="s">
        <v>925</v>
      </c>
      <c r="G170" s="41" t="s">
        <v>926</v>
      </c>
      <c r="H170" s="18" t="s">
        <v>927</v>
      </c>
      <c r="I170" s="18" t="s">
        <v>928</v>
      </c>
      <c r="J170" s="18" t="s">
        <v>1278</v>
      </c>
    </row>
    <row r="171" ht="33.75" customHeight="true" spans="1:10">
      <c r="A171" s="18" t="s">
        <v>588</v>
      </c>
      <c r="B171" s="18" t="s">
        <v>1272</v>
      </c>
      <c r="C171" s="18" t="s">
        <v>922</v>
      </c>
      <c r="D171" s="18" t="s">
        <v>923</v>
      </c>
      <c r="E171" s="18" t="s">
        <v>1279</v>
      </c>
      <c r="F171" s="18" t="s">
        <v>925</v>
      </c>
      <c r="G171" s="41" t="s">
        <v>1280</v>
      </c>
      <c r="H171" s="18" t="s">
        <v>952</v>
      </c>
      <c r="I171" s="18" t="s">
        <v>928</v>
      </c>
      <c r="J171" s="18" t="s">
        <v>1281</v>
      </c>
    </row>
    <row r="172" ht="33.75" customHeight="true" spans="1:10">
      <c r="A172" s="18" t="s">
        <v>588</v>
      </c>
      <c r="B172" s="18" t="s">
        <v>1272</v>
      </c>
      <c r="C172" s="18" t="s">
        <v>922</v>
      </c>
      <c r="D172" s="18" t="s">
        <v>933</v>
      </c>
      <c r="E172" s="18" t="s">
        <v>1282</v>
      </c>
      <c r="F172" s="18" t="s">
        <v>925</v>
      </c>
      <c r="G172" s="41" t="s">
        <v>939</v>
      </c>
      <c r="H172" s="18" t="s">
        <v>927</v>
      </c>
      <c r="I172" s="18" t="s">
        <v>928</v>
      </c>
      <c r="J172" s="18" t="s">
        <v>1283</v>
      </c>
    </row>
    <row r="173" ht="33.75" customHeight="true" spans="1:10">
      <c r="A173" s="18" t="s">
        <v>588</v>
      </c>
      <c r="B173" s="18" t="s">
        <v>1272</v>
      </c>
      <c r="C173" s="18" t="s">
        <v>940</v>
      </c>
      <c r="D173" s="18" t="s">
        <v>941</v>
      </c>
      <c r="E173" s="18" t="s">
        <v>1284</v>
      </c>
      <c r="F173" s="18" t="s">
        <v>938</v>
      </c>
      <c r="G173" s="41" t="s">
        <v>935</v>
      </c>
      <c r="H173" s="18" t="s">
        <v>927</v>
      </c>
      <c r="I173" s="18" t="s">
        <v>928</v>
      </c>
      <c r="J173" s="18" t="s">
        <v>1285</v>
      </c>
    </row>
    <row r="174" ht="33.75" customHeight="true" spans="1:10">
      <c r="A174" s="18" t="s">
        <v>588</v>
      </c>
      <c r="B174" s="18" t="s">
        <v>1272</v>
      </c>
      <c r="C174" s="18" t="s">
        <v>944</v>
      </c>
      <c r="D174" s="18" t="s">
        <v>945</v>
      </c>
      <c r="E174" s="18" t="s">
        <v>1286</v>
      </c>
      <c r="F174" s="18" t="s">
        <v>938</v>
      </c>
      <c r="G174" s="41" t="s">
        <v>935</v>
      </c>
      <c r="H174" s="18" t="s">
        <v>927</v>
      </c>
      <c r="I174" s="18" t="s">
        <v>928</v>
      </c>
      <c r="J174" s="18" t="s">
        <v>1287</v>
      </c>
    </row>
  </sheetData>
  <mergeCells count="35">
    <mergeCell ref="A1:J1"/>
    <mergeCell ref="A2:J2"/>
    <mergeCell ref="A3:H3"/>
    <mergeCell ref="A8:A13"/>
    <mergeCell ref="A14:A20"/>
    <mergeCell ref="A21:A31"/>
    <mergeCell ref="A32:A38"/>
    <mergeCell ref="A39:A49"/>
    <mergeCell ref="A50:A72"/>
    <mergeCell ref="A73:A85"/>
    <mergeCell ref="A86:A99"/>
    <mergeCell ref="A100:A112"/>
    <mergeCell ref="A113:A122"/>
    <mergeCell ref="A123:A129"/>
    <mergeCell ref="A130:A139"/>
    <mergeCell ref="A140:A153"/>
    <mergeCell ref="A154:A158"/>
    <mergeCell ref="A159:A167"/>
    <mergeCell ref="A168:A174"/>
    <mergeCell ref="B8:B13"/>
    <mergeCell ref="B14:B20"/>
    <mergeCell ref="B21:B31"/>
    <mergeCell ref="B32:B38"/>
    <mergeCell ref="B39:B49"/>
    <mergeCell ref="B50:B72"/>
    <mergeCell ref="B73:B85"/>
    <mergeCell ref="B86:B99"/>
    <mergeCell ref="B100:B112"/>
    <mergeCell ref="B113:B122"/>
    <mergeCell ref="B123:B129"/>
    <mergeCell ref="B130:B139"/>
    <mergeCell ref="B140:B153"/>
    <mergeCell ref="B154:B158"/>
    <mergeCell ref="B159:B167"/>
    <mergeCell ref="B168:B17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H256"/>
  <sheetViews>
    <sheetView showZeros="0" topLeftCell="A147" workbookViewId="0">
      <selection activeCell="C27" sqref="C27"/>
    </sheetView>
  </sheetViews>
  <sheetFormatPr defaultColWidth="8.85" defaultRowHeight="15" customHeight="true" outlineLevelCol="7"/>
  <cols>
    <col min="1" max="1" width="36.625" customWidth="true"/>
    <col min="2" max="2" width="19.7416666666667" customWidth="true"/>
    <col min="3" max="3" width="32.125" customWidth="true"/>
    <col min="4" max="4" width="34.7416666666667" customWidth="true"/>
    <col min="5" max="6" width="8.98333333333333" customWidth="true"/>
    <col min="7" max="8" width="15.1333333333333" customWidth="true"/>
  </cols>
  <sheetData>
    <row r="1" ht="18.75" customHeight="true" spans="1:8">
      <c r="A1" s="56" t="s">
        <v>1732</v>
      </c>
      <c r="B1" s="56"/>
      <c r="C1" s="56"/>
      <c r="D1" s="56"/>
      <c r="E1" s="56"/>
      <c r="F1" s="56"/>
      <c r="G1" s="56"/>
      <c r="H1" s="56" t="s">
        <v>1732</v>
      </c>
    </row>
    <row r="2" ht="28.5" customHeight="true" spans="1:8">
      <c r="A2" s="57" t="s">
        <v>1733</v>
      </c>
      <c r="B2" s="57"/>
      <c r="C2" s="57"/>
      <c r="D2" s="57"/>
      <c r="E2" s="57"/>
      <c r="F2" s="57"/>
      <c r="G2" s="57"/>
      <c r="H2" s="57"/>
    </row>
    <row r="3" ht="18.75" customHeight="true" spans="1:8">
      <c r="A3" s="58" t="str">
        <f>"单位名称："&amp;"玉溪市卫生健康委员会"</f>
        <v>单位名称：玉溪市卫生健康委员会</v>
      </c>
      <c r="B3" s="58"/>
      <c r="C3" s="58"/>
      <c r="D3" s="58"/>
      <c r="E3" s="58"/>
      <c r="F3" s="58"/>
      <c r="G3" s="58"/>
      <c r="H3" s="58"/>
    </row>
    <row r="4" ht="18.75" customHeight="true" spans="1:8">
      <c r="A4" s="59" t="s">
        <v>197</v>
      </c>
      <c r="B4" s="59" t="s">
        <v>1734</v>
      </c>
      <c r="C4" s="59" t="s">
        <v>1735</v>
      </c>
      <c r="D4" s="59" t="s">
        <v>1736</v>
      </c>
      <c r="E4" s="59" t="s">
        <v>1737</v>
      </c>
      <c r="F4" s="59" t="s">
        <v>1738</v>
      </c>
      <c r="G4" s="59"/>
      <c r="H4" s="59"/>
    </row>
    <row r="5" ht="18.75" customHeight="true" spans="1:8">
      <c r="A5" s="59"/>
      <c r="B5" s="59"/>
      <c r="C5" s="59"/>
      <c r="D5" s="59"/>
      <c r="E5" s="59"/>
      <c r="F5" s="59" t="s">
        <v>1498</v>
      </c>
      <c r="G5" s="59" t="s">
        <v>1739</v>
      </c>
      <c r="H5" s="59" t="s">
        <v>1740</v>
      </c>
    </row>
    <row r="6" ht="18.75" customHeight="true" spans="1:8">
      <c r="A6" s="60" t="s">
        <v>44</v>
      </c>
      <c r="B6" s="60" t="s">
        <v>45</v>
      </c>
      <c r="C6" s="60" t="s">
        <v>46</v>
      </c>
      <c r="D6" s="60" t="s">
        <v>47</v>
      </c>
      <c r="E6" s="60" t="s">
        <v>48</v>
      </c>
      <c r="F6" s="60" t="s">
        <v>49</v>
      </c>
      <c r="G6" s="60" t="s">
        <v>50</v>
      </c>
      <c r="H6" s="60" t="s">
        <v>51</v>
      </c>
    </row>
    <row r="7" ht="18" customHeight="true" spans="1:8">
      <c r="A7" s="61" t="s">
        <v>64</v>
      </c>
      <c r="B7" s="61"/>
      <c r="C7" s="61"/>
      <c r="D7" s="61"/>
      <c r="E7" s="63"/>
      <c r="F7" s="64">
        <v>1979</v>
      </c>
      <c r="G7" s="65">
        <v>25695428</v>
      </c>
      <c r="H7" s="65">
        <v>32425362</v>
      </c>
    </row>
    <row r="8" ht="18" customHeight="true" spans="1:8">
      <c r="A8" s="62" t="s">
        <v>64</v>
      </c>
      <c r="B8" s="61" t="s">
        <v>1741</v>
      </c>
      <c r="C8" s="61" t="s">
        <v>1742</v>
      </c>
      <c r="D8" s="61" t="s">
        <v>1588</v>
      </c>
      <c r="E8" s="63" t="s">
        <v>1508</v>
      </c>
      <c r="F8" s="64">
        <v>2</v>
      </c>
      <c r="G8" s="65">
        <v>1000</v>
      </c>
      <c r="H8" s="65">
        <v>2000</v>
      </c>
    </row>
    <row r="9" ht="18" customHeight="true" spans="1:8">
      <c r="A9" s="62" t="s">
        <v>64</v>
      </c>
      <c r="B9" s="61" t="s">
        <v>1741</v>
      </c>
      <c r="C9" s="61" t="s">
        <v>1743</v>
      </c>
      <c r="D9" s="61" t="s">
        <v>1744</v>
      </c>
      <c r="E9" s="63" t="s">
        <v>1508</v>
      </c>
      <c r="F9" s="64">
        <v>2</v>
      </c>
      <c r="G9" s="65">
        <v>20000</v>
      </c>
      <c r="H9" s="65">
        <v>40000</v>
      </c>
    </row>
    <row r="10" ht="18" customHeight="true" spans="1:8">
      <c r="A10" s="62" t="s">
        <v>64</v>
      </c>
      <c r="B10" s="61" t="s">
        <v>1741</v>
      </c>
      <c r="C10" s="61" t="s">
        <v>1745</v>
      </c>
      <c r="D10" s="61" t="s">
        <v>1515</v>
      </c>
      <c r="E10" s="63" t="s">
        <v>1508</v>
      </c>
      <c r="F10" s="64">
        <v>1</v>
      </c>
      <c r="G10" s="65">
        <v>7600</v>
      </c>
      <c r="H10" s="65">
        <v>7600</v>
      </c>
    </row>
    <row r="11" ht="18" customHeight="true" spans="1:8">
      <c r="A11" s="62" t="s">
        <v>64</v>
      </c>
      <c r="B11" s="61" t="s">
        <v>1741</v>
      </c>
      <c r="C11" s="61" t="s">
        <v>1746</v>
      </c>
      <c r="D11" s="61" t="s">
        <v>1747</v>
      </c>
      <c r="E11" s="63" t="s">
        <v>1508</v>
      </c>
      <c r="F11" s="64">
        <v>5</v>
      </c>
      <c r="G11" s="65">
        <v>5000</v>
      </c>
      <c r="H11" s="65">
        <v>25000</v>
      </c>
    </row>
    <row r="12" ht="18" customHeight="true" spans="1:8">
      <c r="A12" s="62" t="s">
        <v>64</v>
      </c>
      <c r="B12" s="61" t="s">
        <v>1741</v>
      </c>
      <c r="C12" s="61" t="s">
        <v>1748</v>
      </c>
      <c r="D12" s="61" t="s">
        <v>1516</v>
      </c>
      <c r="E12" s="63" t="s">
        <v>1508</v>
      </c>
      <c r="F12" s="64">
        <v>4</v>
      </c>
      <c r="G12" s="65">
        <v>1500</v>
      </c>
      <c r="H12" s="65">
        <v>6000</v>
      </c>
    </row>
    <row r="13" ht="18" customHeight="true" spans="1:8">
      <c r="A13" s="62" t="s">
        <v>64</v>
      </c>
      <c r="B13" s="61" t="s">
        <v>1741</v>
      </c>
      <c r="C13" s="61" t="s">
        <v>1749</v>
      </c>
      <c r="D13" s="61" t="s">
        <v>1750</v>
      </c>
      <c r="E13" s="63" t="s">
        <v>1508</v>
      </c>
      <c r="F13" s="64">
        <v>1</v>
      </c>
      <c r="G13" s="65">
        <v>6000</v>
      </c>
      <c r="H13" s="65">
        <v>6000</v>
      </c>
    </row>
    <row r="14" ht="18" customHeight="true" spans="1:8">
      <c r="A14" s="62" t="s">
        <v>64</v>
      </c>
      <c r="B14" s="61" t="s">
        <v>1751</v>
      </c>
      <c r="C14" s="61" t="s">
        <v>1752</v>
      </c>
      <c r="D14" s="61" t="s">
        <v>1514</v>
      </c>
      <c r="E14" s="63" t="s">
        <v>998</v>
      </c>
      <c r="F14" s="64">
        <v>5</v>
      </c>
      <c r="G14" s="65">
        <v>1200</v>
      </c>
      <c r="H14" s="65">
        <v>6000</v>
      </c>
    </row>
    <row r="15" ht="18" customHeight="true" spans="1:8">
      <c r="A15" s="62" t="s">
        <v>67</v>
      </c>
      <c r="B15" s="61" t="s">
        <v>1741</v>
      </c>
      <c r="C15" s="61" t="s">
        <v>1753</v>
      </c>
      <c r="D15" s="61" t="s">
        <v>1519</v>
      </c>
      <c r="E15" s="63" t="s">
        <v>1508</v>
      </c>
      <c r="F15" s="64">
        <v>1</v>
      </c>
      <c r="G15" s="65">
        <v>2500</v>
      </c>
      <c r="H15" s="65">
        <v>2500</v>
      </c>
    </row>
    <row r="16" ht="18" customHeight="true" spans="1:8">
      <c r="A16" s="62" t="s">
        <v>67</v>
      </c>
      <c r="B16" s="61" t="s">
        <v>1741</v>
      </c>
      <c r="C16" s="61" t="s">
        <v>1754</v>
      </c>
      <c r="D16" s="61" t="s">
        <v>1518</v>
      </c>
      <c r="E16" s="63" t="s">
        <v>1508</v>
      </c>
      <c r="F16" s="64">
        <v>1</v>
      </c>
      <c r="G16" s="65">
        <v>3000</v>
      </c>
      <c r="H16" s="65">
        <v>3000</v>
      </c>
    </row>
    <row r="17" ht="18" customHeight="true" spans="1:8">
      <c r="A17" s="62" t="s">
        <v>67</v>
      </c>
      <c r="B17" s="61" t="s">
        <v>1751</v>
      </c>
      <c r="C17" s="61" t="s">
        <v>1755</v>
      </c>
      <c r="D17" s="61" t="s">
        <v>1521</v>
      </c>
      <c r="E17" s="63" t="s">
        <v>998</v>
      </c>
      <c r="F17" s="64">
        <v>1</v>
      </c>
      <c r="G17" s="65">
        <v>2500</v>
      </c>
      <c r="H17" s="65">
        <v>2500</v>
      </c>
    </row>
    <row r="18" ht="18" customHeight="true" spans="1:8">
      <c r="A18" s="62" t="s">
        <v>67</v>
      </c>
      <c r="B18" s="61" t="s">
        <v>1751</v>
      </c>
      <c r="C18" s="61" t="s">
        <v>1756</v>
      </c>
      <c r="D18" s="61" t="s">
        <v>1520</v>
      </c>
      <c r="E18" s="63" t="s">
        <v>998</v>
      </c>
      <c r="F18" s="64">
        <v>1</v>
      </c>
      <c r="G18" s="65">
        <v>3500</v>
      </c>
      <c r="H18" s="65">
        <v>3500</v>
      </c>
    </row>
    <row r="19" ht="18" customHeight="true" spans="1:8">
      <c r="A19" s="62" t="s">
        <v>69</v>
      </c>
      <c r="B19" s="61" t="s">
        <v>1741</v>
      </c>
      <c r="C19" s="61" t="s">
        <v>1757</v>
      </c>
      <c r="D19" s="61" t="s">
        <v>1577</v>
      </c>
      <c r="E19" s="63" t="s">
        <v>1508</v>
      </c>
      <c r="F19" s="64">
        <v>1</v>
      </c>
      <c r="G19" s="65">
        <v>91000</v>
      </c>
      <c r="H19" s="65">
        <v>91000</v>
      </c>
    </row>
    <row r="20" ht="18" customHeight="true" spans="1:8">
      <c r="A20" s="62" t="s">
        <v>69</v>
      </c>
      <c r="B20" s="61" t="s">
        <v>1741</v>
      </c>
      <c r="C20" s="61" t="s">
        <v>1758</v>
      </c>
      <c r="D20" s="61" t="s">
        <v>1580</v>
      </c>
      <c r="E20" s="63" t="s">
        <v>1508</v>
      </c>
      <c r="F20" s="64">
        <v>1</v>
      </c>
      <c r="G20" s="65">
        <v>4800</v>
      </c>
      <c r="H20" s="65">
        <v>4800</v>
      </c>
    </row>
    <row r="21" ht="18" customHeight="true" spans="1:8">
      <c r="A21" s="62" t="s">
        <v>69</v>
      </c>
      <c r="B21" s="61" t="s">
        <v>1741</v>
      </c>
      <c r="C21" s="61" t="s">
        <v>1759</v>
      </c>
      <c r="D21" s="61" t="s">
        <v>1563</v>
      </c>
      <c r="E21" s="63" t="s">
        <v>1508</v>
      </c>
      <c r="F21" s="64">
        <v>2</v>
      </c>
      <c r="G21" s="65">
        <v>500</v>
      </c>
      <c r="H21" s="65">
        <v>1000</v>
      </c>
    </row>
    <row r="22" ht="18" customHeight="true" spans="1:8">
      <c r="A22" s="62" t="s">
        <v>69</v>
      </c>
      <c r="B22" s="61" t="s">
        <v>1741</v>
      </c>
      <c r="C22" s="61" t="s">
        <v>1753</v>
      </c>
      <c r="D22" s="61" t="s">
        <v>1519</v>
      </c>
      <c r="E22" s="63" t="s">
        <v>1508</v>
      </c>
      <c r="F22" s="64">
        <v>3</v>
      </c>
      <c r="G22" s="65">
        <v>1500</v>
      </c>
      <c r="H22" s="65">
        <v>4500</v>
      </c>
    </row>
    <row r="23" ht="18" customHeight="true" spans="1:8">
      <c r="A23" s="62" t="s">
        <v>69</v>
      </c>
      <c r="B23" s="61" t="s">
        <v>1741</v>
      </c>
      <c r="C23" s="61" t="s">
        <v>1760</v>
      </c>
      <c r="D23" s="61" t="s">
        <v>1523</v>
      </c>
      <c r="E23" s="63" t="s">
        <v>1508</v>
      </c>
      <c r="F23" s="64">
        <v>4</v>
      </c>
      <c r="G23" s="65">
        <v>500</v>
      </c>
      <c r="H23" s="65">
        <v>2000</v>
      </c>
    </row>
    <row r="24" ht="18" customHeight="true" spans="1:8">
      <c r="A24" s="62" t="s">
        <v>69</v>
      </c>
      <c r="B24" s="61" t="s">
        <v>1741</v>
      </c>
      <c r="C24" s="61" t="s">
        <v>1754</v>
      </c>
      <c r="D24" s="61" t="s">
        <v>1557</v>
      </c>
      <c r="E24" s="63" t="s">
        <v>1508</v>
      </c>
      <c r="F24" s="64">
        <v>3</v>
      </c>
      <c r="G24" s="65">
        <v>3000</v>
      </c>
      <c r="H24" s="65">
        <v>9000</v>
      </c>
    </row>
    <row r="25" ht="18" customHeight="true" spans="1:8">
      <c r="A25" s="62" t="s">
        <v>69</v>
      </c>
      <c r="B25" s="61" t="s">
        <v>1741</v>
      </c>
      <c r="C25" s="61" t="s">
        <v>1761</v>
      </c>
      <c r="D25" s="61" t="s">
        <v>1587</v>
      </c>
      <c r="E25" s="63" t="s">
        <v>1508</v>
      </c>
      <c r="F25" s="64">
        <v>1</v>
      </c>
      <c r="G25" s="65">
        <v>3100</v>
      </c>
      <c r="H25" s="65">
        <v>3100</v>
      </c>
    </row>
    <row r="26" ht="18" customHeight="true" spans="1:8">
      <c r="A26" s="62" t="s">
        <v>69</v>
      </c>
      <c r="B26" s="61" t="s">
        <v>1741</v>
      </c>
      <c r="C26" s="61" t="s">
        <v>1759</v>
      </c>
      <c r="D26" s="61" t="s">
        <v>1547</v>
      </c>
      <c r="E26" s="63" t="s">
        <v>1508</v>
      </c>
      <c r="F26" s="64">
        <v>3</v>
      </c>
      <c r="G26" s="65">
        <v>500</v>
      </c>
      <c r="H26" s="65">
        <v>1500</v>
      </c>
    </row>
    <row r="27" ht="18" customHeight="true" spans="1:8">
      <c r="A27" s="62" t="s">
        <v>69</v>
      </c>
      <c r="B27" s="61" t="s">
        <v>1741</v>
      </c>
      <c r="C27" s="61" t="s">
        <v>1762</v>
      </c>
      <c r="D27" s="61" t="s">
        <v>1535</v>
      </c>
      <c r="E27" s="63" t="s">
        <v>1508</v>
      </c>
      <c r="F27" s="64">
        <v>1</v>
      </c>
      <c r="G27" s="65">
        <v>15000</v>
      </c>
      <c r="H27" s="65">
        <v>15000</v>
      </c>
    </row>
    <row r="28" ht="18" customHeight="true" spans="1:8">
      <c r="A28" s="62" t="s">
        <v>69</v>
      </c>
      <c r="B28" s="61" t="s">
        <v>1741</v>
      </c>
      <c r="C28" s="61" t="s">
        <v>1762</v>
      </c>
      <c r="D28" s="61" t="s">
        <v>1545</v>
      </c>
      <c r="E28" s="63" t="s">
        <v>1508</v>
      </c>
      <c r="F28" s="64">
        <v>2</v>
      </c>
      <c r="G28" s="65">
        <v>5000</v>
      </c>
      <c r="H28" s="65">
        <v>10000</v>
      </c>
    </row>
    <row r="29" ht="18" customHeight="true" spans="1:8">
      <c r="A29" s="62" t="s">
        <v>69</v>
      </c>
      <c r="B29" s="61" t="s">
        <v>1741</v>
      </c>
      <c r="C29" s="61" t="s">
        <v>1763</v>
      </c>
      <c r="D29" s="61" t="s">
        <v>1539</v>
      </c>
      <c r="E29" s="63" t="s">
        <v>1508</v>
      </c>
      <c r="F29" s="64">
        <v>1</v>
      </c>
      <c r="G29" s="65">
        <v>1000</v>
      </c>
      <c r="H29" s="65">
        <v>1000</v>
      </c>
    </row>
    <row r="30" ht="18" customHeight="true" spans="1:8">
      <c r="A30" s="62" t="s">
        <v>69</v>
      </c>
      <c r="B30" s="61" t="s">
        <v>1741</v>
      </c>
      <c r="C30" s="61" t="s">
        <v>1764</v>
      </c>
      <c r="D30" s="61" t="s">
        <v>1585</v>
      </c>
      <c r="E30" s="63" t="s">
        <v>1508</v>
      </c>
      <c r="F30" s="64">
        <v>1</v>
      </c>
      <c r="G30" s="65">
        <v>50000</v>
      </c>
      <c r="H30" s="65">
        <v>50000</v>
      </c>
    </row>
    <row r="31" ht="18" customHeight="true" spans="1:8">
      <c r="A31" s="62" t="s">
        <v>69</v>
      </c>
      <c r="B31" s="61" t="s">
        <v>1741</v>
      </c>
      <c r="C31" s="61" t="s">
        <v>1764</v>
      </c>
      <c r="D31" s="61" t="s">
        <v>1579</v>
      </c>
      <c r="E31" s="63" t="s">
        <v>1508</v>
      </c>
      <c r="F31" s="64">
        <v>1</v>
      </c>
      <c r="G31" s="65">
        <v>190000</v>
      </c>
      <c r="H31" s="65">
        <v>190000</v>
      </c>
    </row>
    <row r="32" ht="18" customHeight="true" spans="1:8">
      <c r="A32" s="62" t="s">
        <v>69</v>
      </c>
      <c r="B32" s="61" t="s">
        <v>1741</v>
      </c>
      <c r="C32" s="61" t="s">
        <v>1765</v>
      </c>
      <c r="D32" s="61" t="s">
        <v>1571</v>
      </c>
      <c r="E32" s="63" t="s">
        <v>1508</v>
      </c>
      <c r="F32" s="64">
        <v>2</v>
      </c>
      <c r="G32" s="65">
        <v>6450</v>
      </c>
      <c r="H32" s="65">
        <v>12900</v>
      </c>
    </row>
    <row r="33" ht="18" customHeight="true" spans="1:8">
      <c r="A33" s="62" t="s">
        <v>69</v>
      </c>
      <c r="B33" s="61" t="s">
        <v>1741</v>
      </c>
      <c r="C33" s="61" t="s">
        <v>1754</v>
      </c>
      <c r="D33" s="61" t="s">
        <v>1574</v>
      </c>
      <c r="E33" s="63" t="s">
        <v>1508</v>
      </c>
      <c r="F33" s="64">
        <v>1</v>
      </c>
      <c r="G33" s="65">
        <v>3000</v>
      </c>
      <c r="H33" s="65">
        <v>3000</v>
      </c>
    </row>
    <row r="34" ht="18" customHeight="true" spans="1:8">
      <c r="A34" s="62" t="s">
        <v>69</v>
      </c>
      <c r="B34" s="61" t="s">
        <v>1741</v>
      </c>
      <c r="C34" s="61" t="s">
        <v>1762</v>
      </c>
      <c r="D34" s="61" t="s">
        <v>1535</v>
      </c>
      <c r="E34" s="63" t="s">
        <v>1508</v>
      </c>
      <c r="F34" s="64">
        <v>2</v>
      </c>
      <c r="G34" s="65">
        <v>6000</v>
      </c>
      <c r="H34" s="65">
        <v>12000</v>
      </c>
    </row>
    <row r="35" ht="18" customHeight="true" spans="1:8">
      <c r="A35" s="62" t="s">
        <v>69</v>
      </c>
      <c r="B35" s="61" t="s">
        <v>1741</v>
      </c>
      <c r="C35" s="61" t="s">
        <v>1766</v>
      </c>
      <c r="D35" s="61" t="s">
        <v>1581</v>
      </c>
      <c r="E35" s="63" t="s">
        <v>998</v>
      </c>
      <c r="F35" s="64">
        <v>2</v>
      </c>
      <c r="G35" s="65">
        <v>150</v>
      </c>
      <c r="H35" s="65">
        <v>300</v>
      </c>
    </row>
    <row r="36" ht="18" customHeight="true" spans="1:8">
      <c r="A36" s="62" t="s">
        <v>69</v>
      </c>
      <c r="B36" s="61" t="s">
        <v>1741</v>
      </c>
      <c r="C36" s="61" t="s">
        <v>1760</v>
      </c>
      <c r="D36" s="61" t="s">
        <v>1523</v>
      </c>
      <c r="E36" s="63" t="s">
        <v>1508</v>
      </c>
      <c r="F36" s="64">
        <v>1</v>
      </c>
      <c r="G36" s="65">
        <v>3000</v>
      </c>
      <c r="H36" s="65">
        <v>3000</v>
      </c>
    </row>
    <row r="37" ht="18" customHeight="true" spans="1:8">
      <c r="A37" s="62" t="s">
        <v>69</v>
      </c>
      <c r="B37" s="61" t="s">
        <v>1741</v>
      </c>
      <c r="C37" s="61" t="s">
        <v>1766</v>
      </c>
      <c r="D37" s="61" t="s">
        <v>1575</v>
      </c>
      <c r="E37" s="63" t="s">
        <v>1508</v>
      </c>
      <c r="F37" s="64">
        <v>2</v>
      </c>
      <c r="G37" s="65">
        <v>1000</v>
      </c>
      <c r="H37" s="65">
        <v>2000</v>
      </c>
    </row>
    <row r="38" ht="18" customHeight="true" spans="1:8">
      <c r="A38" s="62" t="s">
        <v>69</v>
      </c>
      <c r="B38" s="61" t="s">
        <v>1741</v>
      </c>
      <c r="C38" s="61" t="s">
        <v>1767</v>
      </c>
      <c r="D38" s="61" t="s">
        <v>1549</v>
      </c>
      <c r="E38" s="63" t="s">
        <v>1508</v>
      </c>
      <c r="F38" s="64">
        <v>1</v>
      </c>
      <c r="G38" s="65">
        <v>1780</v>
      </c>
      <c r="H38" s="65">
        <v>1780</v>
      </c>
    </row>
    <row r="39" ht="18" customHeight="true" spans="1:8">
      <c r="A39" s="62" t="s">
        <v>69</v>
      </c>
      <c r="B39" s="61" t="s">
        <v>1741</v>
      </c>
      <c r="C39" s="61" t="s">
        <v>1753</v>
      </c>
      <c r="D39" s="61" t="s">
        <v>1519</v>
      </c>
      <c r="E39" s="63" t="s">
        <v>1508</v>
      </c>
      <c r="F39" s="64">
        <v>1</v>
      </c>
      <c r="G39" s="65">
        <v>3000</v>
      </c>
      <c r="H39" s="65">
        <v>3000</v>
      </c>
    </row>
    <row r="40" ht="18" customHeight="true" spans="1:8">
      <c r="A40" s="62" t="s">
        <v>69</v>
      </c>
      <c r="B40" s="61" t="s">
        <v>1741</v>
      </c>
      <c r="C40" s="61" t="s">
        <v>1758</v>
      </c>
      <c r="D40" s="61" t="s">
        <v>1578</v>
      </c>
      <c r="E40" s="63" t="s">
        <v>1508</v>
      </c>
      <c r="F40" s="64">
        <v>1</v>
      </c>
      <c r="G40" s="65">
        <v>10000</v>
      </c>
      <c r="H40" s="65">
        <v>10000</v>
      </c>
    </row>
    <row r="41" ht="18" customHeight="true" spans="1:8">
      <c r="A41" s="62" t="s">
        <v>69</v>
      </c>
      <c r="B41" s="61" t="s">
        <v>1741</v>
      </c>
      <c r="C41" s="61" t="s">
        <v>1762</v>
      </c>
      <c r="D41" s="61" t="s">
        <v>1573</v>
      </c>
      <c r="E41" s="63" t="s">
        <v>1508</v>
      </c>
      <c r="F41" s="64">
        <v>1</v>
      </c>
      <c r="G41" s="65">
        <v>42000</v>
      </c>
      <c r="H41" s="65">
        <v>42000</v>
      </c>
    </row>
    <row r="42" ht="18" customHeight="true" spans="1:8">
      <c r="A42" s="62" t="s">
        <v>69</v>
      </c>
      <c r="B42" s="61" t="s">
        <v>1741</v>
      </c>
      <c r="C42" s="61" t="s">
        <v>1764</v>
      </c>
      <c r="D42" s="61" t="s">
        <v>1525</v>
      </c>
      <c r="E42" s="63" t="s">
        <v>1508</v>
      </c>
      <c r="F42" s="64">
        <v>1</v>
      </c>
      <c r="G42" s="65">
        <v>6000</v>
      </c>
      <c r="H42" s="65">
        <v>6000</v>
      </c>
    </row>
    <row r="43" ht="18" customHeight="true" spans="1:8">
      <c r="A43" s="62" t="s">
        <v>69</v>
      </c>
      <c r="B43" s="61" t="s">
        <v>1741</v>
      </c>
      <c r="C43" s="61" t="s">
        <v>1768</v>
      </c>
      <c r="D43" s="61" t="s">
        <v>1572</v>
      </c>
      <c r="E43" s="63" t="s">
        <v>1508</v>
      </c>
      <c r="F43" s="64">
        <v>1</v>
      </c>
      <c r="G43" s="65">
        <v>150000</v>
      </c>
      <c r="H43" s="65">
        <v>150000</v>
      </c>
    </row>
    <row r="44" ht="18" customHeight="true" spans="1:8">
      <c r="A44" s="62" t="s">
        <v>69</v>
      </c>
      <c r="B44" s="61" t="s">
        <v>1741</v>
      </c>
      <c r="C44" s="61" t="s">
        <v>1759</v>
      </c>
      <c r="D44" s="61" t="s">
        <v>1559</v>
      </c>
      <c r="E44" s="63" t="s">
        <v>1508</v>
      </c>
      <c r="F44" s="64">
        <v>1</v>
      </c>
      <c r="G44" s="65">
        <v>2500</v>
      </c>
      <c r="H44" s="65">
        <v>2500</v>
      </c>
    </row>
    <row r="45" ht="18" customHeight="true" spans="1:8">
      <c r="A45" s="62" t="s">
        <v>69</v>
      </c>
      <c r="B45" s="61" t="s">
        <v>1741</v>
      </c>
      <c r="C45" s="61" t="s">
        <v>1759</v>
      </c>
      <c r="D45" s="61" t="s">
        <v>1536</v>
      </c>
      <c r="E45" s="63" t="s">
        <v>1508</v>
      </c>
      <c r="F45" s="64">
        <v>1</v>
      </c>
      <c r="G45" s="65">
        <v>2000</v>
      </c>
      <c r="H45" s="65">
        <v>2000</v>
      </c>
    </row>
    <row r="46" ht="18" customHeight="true" spans="1:8">
      <c r="A46" s="62" t="s">
        <v>69</v>
      </c>
      <c r="B46" s="61" t="s">
        <v>1741</v>
      </c>
      <c r="C46" s="61" t="s">
        <v>1753</v>
      </c>
      <c r="D46" s="61" t="s">
        <v>1519</v>
      </c>
      <c r="E46" s="63" t="s">
        <v>1508</v>
      </c>
      <c r="F46" s="64">
        <v>1</v>
      </c>
      <c r="G46" s="65">
        <v>2000</v>
      </c>
      <c r="H46" s="65">
        <v>2000</v>
      </c>
    </row>
    <row r="47" ht="18" customHeight="true" spans="1:8">
      <c r="A47" s="62" t="s">
        <v>69</v>
      </c>
      <c r="B47" s="61" t="s">
        <v>1741</v>
      </c>
      <c r="C47" s="61" t="s">
        <v>1769</v>
      </c>
      <c r="D47" s="61" t="s">
        <v>1524</v>
      </c>
      <c r="E47" s="63" t="s">
        <v>1508</v>
      </c>
      <c r="F47" s="64">
        <v>1</v>
      </c>
      <c r="G47" s="65">
        <v>100000</v>
      </c>
      <c r="H47" s="65">
        <v>100000</v>
      </c>
    </row>
    <row r="48" ht="18" customHeight="true" spans="1:8">
      <c r="A48" s="62" t="s">
        <v>69</v>
      </c>
      <c r="B48" s="61" t="s">
        <v>1741</v>
      </c>
      <c r="C48" s="61" t="s">
        <v>1764</v>
      </c>
      <c r="D48" s="61" t="s">
        <v>1544</v>
      </c>
      <c r="E48" s="63" t="s">
        <v>1508</v>
      </c>
      <c r="F48" s="64">
        <v>1</v>
      </c>
      <c r="G48" s="65">
        <v>90000</v>
      </c>
      <c r="H48" s="65">
        <v>90000</v>
      </c>
    </row>
    <row r="49" ht="18" customHeight="true" spans="1:8">
      <c r="A49" s="62" t="s">
        <v>69</v>
      </c>
      <c r="B49" s="61" t="s">
        <v>1741</v>
      </c>
      <c r="C49" s="61" t="s">
        <v>1760</v>
      </c>
      <c r="D49" s="61" t="s">
        <v>1523</v>
      </c>
      <c r="E49" s="63" t="s">
        <v>1508</v>
      </c>
      <c r="F49" s="64">
        <v>1</v>
      </c>
      <c r="G49" s="65">
        <v>50000</v>
      </c>
      <c r="H49" s="65">
        <v>50000</v>
      </c>
    </row>
    <row r="50" ht="18" customHeight="true" spans="1:8">
      <c r="A50" s="62" t="s">
        <v>69</v>
      </c>
      <c r="B50" s="61" t="s">
        <v>1741</v>
      </c>
      <c r="C50" s="61" t="s">
        <v>1770</v>
      </c>
      <c r="D50" s="61" t="s">
        <v>1551</v>
      </c>
      <c r="E50" s="63" t="s">
        <v>1530</v>
      </c>
      <c r="F50" s="64">
        <v>6</v>
      </c>
      <c r="G50" s="65">
        <v>200</v>
      </c>
      <c r="H50" s="65">
        <v>1200</v>
      </c>
    </row>
    <row r="51" ht="18" customHeight="true" spans="1:8">
      <c r="A51" s="62" t="s">
        <v>69</v>
      </c>
      <c r="B51" s="61" t="s">
        <v>1741</v>
      </c>
      <c r="C51" s="61" t="s">
        <v>1767</v>
      </c>
      <c r="D51" s="61" t="s">
        <v>1562</v>
      </c>
      <c r="E51" s="63" t="s">
        <v>1508</v>
      </c>
      <c r="F51" s="64">
        <v>1</v>
      </c>
      <c r="G51" s="65">
        <v>25000</v>
      </c>
      <c r="H51" s="65">
        <v>25000</v>
      </c>
    </row>
    <row r="52" ht="18" customHeight="true" spans="1:8">
      <c r="A52" s="62" t="s">
        <v>69</v>
      </c>
      <c r="B52" s="61" t="s">
        <v>1741</v>
      </c>
      <c r="C52" s="61" t="s">
        <v>1757</v>
      </c>
      <c r="D52" s="61" t="s">
        <v>1590</v>
      </c>
      <c r="E52" s="63" t="s">
        <v>1508</v>
      </c>
      <c r="F52" s="64">
        <v>1</v>
      </c>
      <c r="G52" s="65">
        <v>40000</v>
      </c>
      <c r="H52" s="65">
        <v>40000</v>
      </c>
    </row>
    <row r="53" ht="18" customHeight="true" spans="1:8">
      <c r="A53" s="62" t="s">
        <v>69</v>
      </c>
      <c r="B53" s="61" t="s">
        <v>1741</v>
      </c>
      <c r="C53" s="61" t="s">
        <v>1766</v>
      </c>
      <c r="D53" s="61" t="s">
        <v>1531</v>
      </c>
      <c r="E53" s="63" t="s">
        <v>1508</v>
      </c>
      <c r="F53" s="64">
        <v>3</v>
      </c>
      <c r="G53" s="65">
        <v>1800</v>
      </c>
      <c r="H53" s="65">
        <v>5400</v>
      </c>
    </row>
    <row r="54" ht="18" customHeight="true" spans="1:8">
      <c r="A54" s="62" t="s">
        <v>69</v>
      </c>
      <c r="B54" s="61" t="s">
        <v>1741</v>
      </c>
      <c r="C54" s="61" t="s">
        <v>1748</v>
      </c>
      <c r="D54" s="61" t="s">
        <v>1516</v>
      </c>
      <c r="E54" s="63" t="s">
        <v>1508</v>
      </c>
      <c r="F54" s="64">
        <v>10</v>
      </c>
      <c r="G54" s="65">
        <v>1500</v>
      </c>
      <c r="H54" s="65">
        <v>15000</v>
      </c>
    </row>
    <row r="55" ht="18" customHeight="true" spans="1:8">
      <c r="A55" s="62" t="s">
        <v>69</v>
      </c>
      <c r="B55" s="61" t="s">
        <v>1741</v>
      </c>
      <c r="C55" s="61" t="s">
        <v>1762</v>
      </c>
      <c r="D55" s="61" t="s">
        <v>1591</v>
      </c>
      <c r="E55" s="63" t="s">
        <v>1508</v>
      </c>
      <c r="F55" s="64">
        <v>1</v>
      </c>
      <c r="G55" s="65">
        <v>2000</v>
      </c>
      <c r="H55" s="65">
        <v>2000</v>
      </c>
    </row>
    <row r="56" ht="18" customHeight="true" spans="1:8">
      <c r="A56" s="62" t="s">
        <v>69</v>
      </c>
      <c r="B56" s="61" t="s">
        <v>1741</v>
      </c>
      <c r="C56" s="61" t="s">
        <v>1749</v>
      </c>
      <c r="D56" s="61" t="s">
        <v>1554</v>
      </c>
      <c r="E56" s="63" t="s">
        <v>1508</v>
      </c>
      <c r="F56" s="64">
        <v>6</v>
      </c>
      <c r="G56" s="65">
        <v>6000</v>
      </c>
      <c r="H56" s="65">
        <v>36000</v>
      </c>
    </row>
    <row r="57" ht="18" customHeight="true" spans="1:8">
      <c r="A57" s="62" t="s">
        <v>69</v>
      </c>
      <c r="B57" s="61" t="s">
        <v>1741</v>
      </c>
      <c r="C57" s="61" t="s">
        <v>1771</v>
      </c>
      <c r="D57" s="61" t="s">
        <v>1550</v>
      </c>
      <c r="E57" s="63" t="s">
        <v>1530</v>
      </c>
      <c r="F57" s="64">
        <v>1</v>
      </c>
      <c r="G57" s="65">
        <v>1000</v>
      </c>
      <c r="H57" s="65">
        <v>1000</v>
      </c>
    </row>
    <row r="58" ht="18" customHeight="true" spans="1:8">
      <c r="A58" s="62" t="s">
        <v>69</v>
      </c>
      <c r="B58" s="61" t="s">
        <v>1741</v>
      </c>
      <c r="C58" s="61" t="s">
        <v>1764</v>
      </c>
      <c r="D58" s="61" t="s">
        <v>1532</v>
      </c>
      <c r="E58" s="63" t="s">
        <v>1185</v>
      </c>
      <c r="F58" s="64">
        <v>1</v>
      </c>
      <c r="G58" s="65">
        <v>2400000</v>
      </c>
      <c r="H58" s="65">
        <v>2400000</v>
      </c>
    </row>
    <row r="59" ht="18" customHeight="true" spans="1:8">
      <c r="A59" s="62" t="s">
        <v>69</v>
      </c>
      <c r="B59" s="61" t="s">
        <v>1741</v>
      </c>
      <c r="C59" s="61" t="s">
        <v>1759</v>
      </c>
      <c r="D59" s="61" t="s">
        <v>1538</v>
      </c>
      <c r="E59" s="63" t="s">
        <v>998</v>
      </c>
      <c r="F59" s="64">
        <v>1</v>
      </c>
      <c r="G59" s="65">
        <v>550</v>
      </c>
      <c r="H59" s="65">
        <v>550</v>
      </c>
    </row>
    <row r="60" ht="18" customHeight="true" spans="1:8">
      <c r="A60" s="62" t="s">
        <v>69</v>
      </c>
      <c r="B60" s="61" t="s">
        <v>1741</v>
      </c>
      <c r="C60" s="61" t="s">
        <v>1759</v>
      </c>
      <c r="D60" s="61" t="s">
        <v>1576</v>
      </c>
      <c r="E60" s="63" t="s">
        <v>1508</v>
      </c>
      <c r="F60" s="64">
        <v>1</v>
      </c>
      <c r="G60" s="65">
        <v>500</v>
      </c>
      <c r="H60" s="65">
        <v>500</v>
      </c>
    </row>
    <row r="61" ht="18" customHeight="true" spans="1:8">
      <c r="A61" s="62" t="s">
        <v>69</v>
      </c>
      <c r="B61" s="61" t="s">
        <v>1741</v>
      </c>
      <c r="C61" s="61" t="s">
        <v>1757</v>
      </c>
      <c r="D61" s="61" t="s">
        <v>1592</v>
      </c>
      <c r="E61" s="63" t="s">
        <v>1185</v>
      </c>
      <c r="F61" s="64">
        <v>1</v>
      </c>
      <c r="G61" s="65">
        <v>800</v>
      </c>
      <c r="H61" s="65">
        <v>800</v>
      </c>
    </row>
    <row r="62" ht="18" customHeight="true" spans="1:8">
      <c r="A62" s="62" t="s">
        <v>69</v>
      </c>
      <c r="B62" s="61" t="s">
        <v>1741</v>
      </c>
      <c r="C62" s="61" t="s">
        <v>1765</v>
      </c>
      <c r="D62" s="61" t="s">
        <v>1543</v>
      </c>
      <c r="E62" s="63" t="s">
        <v>1508</v>
      </c>
      <c r="F62" s="64">
        <v>1</v>
      </c>
      <c r="G62" s="65">
        <v>200000</v>
      </c>
      <c r="H62" s="65">
        <v>200000</v>
      </c>
    </row>
    <row r="63" ht="18" customHeight="true" spans="1:8">
      <c r="A63" s="62" t="s">
        <v>69</v>
      </c>
      <c r="B63" s="61" t="s">
        <v>1741</v>
      </c>
      <c r="C63" s="61" t="s">
        <v>1757</v>
      </c>
      <c r="D63" s="61" t="s">
        <v>1584</v>
      </c>
      <c r="E63" s="63" t="s">
        <v>1508</v>
      </c>
      <c r="F63" s="64">
        <v>1</v>
      </c>
      <c r="G63" s="65">
        <v>50000</v>
      </c>
      <c r="H63" s="65">
        <v>50000</v>
      </c>
    </row>
    <row r="64" ht="18" customHeight="true" spans="1:8">
      <c r="A64" s="62" t="s">
        <v>69</v>
      </c>
      <c r="B64" s="61" t="s">
        <v>1741</v>
      </c>
      <c r="C64" s="61" t="s">
        <v>1761</v>
      </c>
      <c r="D64" s="61" t="s">
        <v>1560</v>
      </c>
      <c r="E64" s="63" t="s">
        <v>1530</v>
      </c>
      <c r="F64" s="64">
        <v>3</v>
      </c>
      <c r="G64" s="65">
        <v>600</v>
      </c>
      <c r="H64" s="65">
        <v>1800</v>
      </c>
    </row>
    <row r="65" ht="18" customHeight="true" spans="1:8">
      <c r="A65" s="62" t="s">
        <v>69</v>
      </c>
      <c r="B65" s="61" t="s">
        <v>1741</v>
      </c>
      <c r="C65" s="61" t="s">
        <v>1753</v>
      </c>
      <c r="D65" s="61" t="s">
        <v>1519</v>
      </c>
      <c r="E65" s="63" t="s">
        <v>1508</v>
      </c>
      <c r="F65" s="64">
        <v>3</v>
      </c>
      <c r="G65" s="65">
        <v>1500</v>
      </c>
      <c r="H65" s="65">
        <v>4500</v>
      </c>
    </row>
    <row r="66" ht="18" customHeight="true" spans="1:8">
      <c r="A66" s="62" t="s">
        <v>69</v>
      </c>
      <c r="B66" s="61" t="s">
        <v>1741</v>
      </c>
      <c r="C66" s="61" t="s">
        <v>1764</v>
      </c>
      <c r="D66" s="61" t="s">
        <v>1542</v>
      </c>
      <c r="E66" s="63" t="s">
        <v>1522</v>
      </c>
      <c r="F66" s="64">
        <v>31</v>
      </c>
      <c r="G66" s="65">
        <v>8000</v>
      </c>
      <c r="H66" s="65">
        <v>248000</v>
      </c>
    </row>
    <row r="67" ht="18" customHeight="true" spans="1:8">
      <c r="A67" s="62" t="s">
        <v>69</v>
      </c>
      <c r="B67" s="61" t="s">
        <v>1741</v>
      </c>
      <c r="C67" s="61" t="s">
        <v>1760</v>
      </c>
      <c r="D67" s="61" t="s">
        <v>1523</v>
      </c>
      <c r="E67" s="63" t="s">
        <v>1508</v>
      </c>
      <c r="F67" s="64">
        <v>1</v>
      </c>
      <c r="G67" s="65">
        <v>250000</v>
      </c>
      <c r="H67" s="65">
        <v>250000</v>
      </c>
    </row>
    <row r="68" ht="18" customHeight="true" spans="1:8">
      <c r="A68" s="62" t="s">
        <v>69</v>
      </c>
      <c r="B68" s="61" t="s">
        <v>1741</v>
      </c>
      <c r="C68" s="61" t="s">
        <v>1753</v>
      </c>
      <c r="D68" s="61" t="s">
        <v>1519</v>
      </c>
      <c r="E68" s="63" t="s">
        <v>1508</v>
      </c>
      <c r="F68" s="64">
        <v>1</v>
      </c>
      <c r="G68" s="65">
        <v>1400</v>
      </c>
      <c r="H68" s="65">
        <v>1400</v>
      </c>
    </row>
    <row r="69" ht="18" customHeight="true" spans="1:8">
      <c r="A69" s="62" t="s">
        <v>69</v>
      </c>
      <c r="B69" s="61" t="s">
        <v>1741</v>
      </c>
      <c r="C69" s="61" t="s">
        <v>1772</v>
      </c>
      <c r="D69" s="61" t="s">
        <v>1566</v>
      </c>
      <c r="E69" s="63" t="s">
        <v>1508</v>
      </c>
      <c r="F69" s="64">
        <v>1</v>
      </c>
      <c r="G69" s="65">
        <v>3000</v>
      </c>
      <c r="H69" s="65">
        <v>3000</v>
      </c>
    </row>
    <row r="70" ht="18" customHeight="true" spans="1:8">
      <c r="A70" s="62" t="s">
        <v>69</v>
      </c>
      <c r="B70" s="61" t="s">
        <v>1741</v>
      </c>
      <c r="C70" s="61" t="s">
        <v>1764</v>
      </c>
      <c r="D70" s="61" t="s">
        <v>1589</v>
      </c>
      <c r="E70" s="63" t="s">
        <v>1508</v>
      </c>
      <c r="F70" s="64">
        <v>1</v>
      </c>
      <c r="G70" s="65">
        <v>60000</v>
      </c>
      <c r="H70" s="65">
        <v>60000</v>
      </c>
    </row>
    <row r="71" ht="18" customHeight="true" spans="1:8">
      <c r="A71" s="62" t="s">
        <v>69</v>
      </c>
      <c r="B71" s="61" t="s">
        <v>1741</v>
      </c>
      <c r="C71" s="61" t="s">
        <v>1773</v>
      </c>
      <c r="D71" s="61" t="s">
        <v>1528</v>
      </c>
      <c r="E71" s="63" t="s">
        <v>1508</v>
      </c>
      <c r="F71" s="64">
        <v>1</v>
      </c>
      <c r="G71" s="65">
        <v>4000</v>
      </c>
      <c r="H71" s="65">
        <v>4000</v>
      </c>
    </row>
    <row r="72" ht="18" customHeight="true" spans="1:8">
      <c r="A72" s="62" t="s">
        <v>69</v>
      </c>
      <c r="B72" s="61" t="s">
        <v>1741</v>
      </c>
      <c r="C72" s="61" t="s">
        <v>1774</v>
      </c>
      <c r="D72" s="61" t="s">
        <v>1556</v>
      </c>
      <c r="E72" s="63" t="s">
        <v>1508</v>
      </c>
      <c r="F72" s="64">
        <v>1</v>
      </c>
      <c r="G72" s="65">
        <v>100000</v>
      </c>
      <c r="H72" s="65">
        <v>100000</v>
      </c>
    </row>
    <row r="73" ht="18" customHeight="true" spans="1:8">
      <c r="A73" s="62" t="s">
        <v>69</v>
      </c>
      <c r="B73" s="61" t="s">
        <v>1741</v>
      </c>
      <c r="C73" s="61" t="s">
        <v>1769</v>
      </c>
      <c r="D73" s="61" t="s">
        <v>1595</v>
      </c>
      <c r="E73" s="63" t="s">
        <v>1508</v>
      </c>
      <c r="F73" s="64">
        <v>1</v>
      </c>
      <c r="G73" s="65">
        <v>42000</v>
      </c>
      <c r="H73" s="65">
        <v>42000</v>
      </c>
    </row>
    <row r="74" ht="18" customHeight="true" spans="1:8">
      <c r="A74" s="62" t="s">
        <v>69</v>
      </c>
      <c r="B74" s="61" t="s">
        <v>1741</v>
      </c>
      <c r="C74" s="61" t="s">
        <v>1775</v>
      </c>
      <c r="D74" s="61" t="s">
        <v>1553</v>
      </c>
      <c r="E74" s="63" t="s">
        <v>1508</v>
      </c>
      <c r="F74" s="64">
        <v>2</v>
      </c>
      <c r="G74" s="65">
        <v>3000</v>
      </c>
      <c r="H74" s="65">
        <v>6000</v>
      </c>
    </row>
    <row r="75" ht="18" customHeight="true" spans="1:8">
      <c r="A75" s="62" t="s">
        <v>69</v>
      </c>
      <c r="B75" s="61" t="s">
        <v>1741</v>
      </c>
      <c r="C75" s="61" t="s">
        <v>1759</v>
      </c>
      <c r="D75" s="61" t="s">
        <v>1541</v>
      </c>
      <c r="E75" s="63" t="s">
        <v>1508</v>
      </c>
      <c r="F75" s="64">
        <v>1</v>
      </c>
      <c r="G75" s="65">
        <v>800</v>
      </c>
      <c r="H75" s="65">
        <v>800</v>
      </c>
    </row>
    <row r="76" ht="18" customHeight="true" spans="1:8">
      <c r="A76" s="62" t="s">
        <v>69</v>
      </c>
      <c r="B76" s="61" t="s">
        <v>1741</v>
      </c>
      <c r="C76" s="61" t="s">
        <v>1742</v>
      </c>
      <c r="D76" s="61" t="s">
        <v>1588</v>
      </c>
      <c r="E76" s="63" t="s">
        <v>1508</v>
      </c>
      <c r="F76" s="64">
        <v>1</v>
      </c>
      <c r="G76" s="65">
        <v>1000</v>
      </c>
      <c r="H76" s="65">
        <v>1000</v>
      </c>
    </row>
    <row r="77" ht="18" customHeight="true" spans="1:8">
      <c r="A77" s="62" t="s">
        <v>69</v>
      </c>
      <c r="B77" s="61" t="s">
        <v>1741</v>
      </c>
      <c r="C77" s="61" t="s">
        <v>1776</v>
      </c>
      <c r="D77" s="61" t="s">
        <v>1527</v>
      </c>
      <c r="E77" s="63" t="s">
        <v>1508</v>
      </c>
      <c r="F77" s="64">
        <v>1</v>
      </c>
      <c r="G77" s="65">
        <v>650</v>
      </c>
      <c r="H77" s="65">
        <v>650</v>
      </c>
    </row>
    <row r="78" ht="18" customHeight="true" spans="1:8">
      <c r="A78" s="62" t="s">
        <v>69</v>
      </c>
      <c r="B78" s="61" t="s">
        <v>1741</v>
      </c>
      <c r="C78" s="61" t="s">
        <v>1764</v>
      </c>
      <c r="D78" s="61" t="s">
        <v>1558</v>
      </c>
      <c r="E78" s="63" t="s">
        <v>1508</v>
      </c>
      <c r="F78" s="64">
        <v>1</v>
      </c>
      <c r="G78" s="65">
        <v>8500</v>
      </c>
      <c r="H78" s="65">
        <v>8500</v>
      </c>
    </row>
    <row r="79" ht="18" customHeight="true" spans="1:8">
      <c r="A79" s="62" t="s">
        <v>69</v>
      </c>
      <c r="B79" s="61" t="s">
        <v>1741</v>
      </c>
      <c r="C79" s="61" t="s">
        <v>1764</v>
      </c>
      <c r="D79" s="61" t="s">
        <v>1582</v>
      </c>
      <c r="E79" s="63" t="s">
        <v>1508</v>
      </c>
      <c r="F79" s="64">
        <v>2</v>
      </c>
      <c r="G79" s="65">
        <v>150000</v>
      </c>
      <c r="H79" s="65">
        <v>300000</v>
      </c>
    </row>
    <row r="80" ht="18" customHeight="true" spans="1:8">
      <c r="A80" s="62" t="s">
        <v>69</v>
      </c>
      <c r="B80" s="61" t="s">
        <v>1751</v>
      </c>
      <c r="C80" s="61" t="s">
        <v>1777</v>
      </c>
      <c r="D80" s="61" t="s">
        <v>1540</v>
      </c>
      <c r="E80" s="63" t="s">
        <v>1565</v>
      </c>
      <c r="F80" s="64">
        <v>1</v>
      </c>
      <c r="G80" s="65">
        <v>500</v>
      </c>
      <c r="H80" s="65">
        <v>500</v>
      </c>
    </row>
    <row r="81" ht="18" customHeight="true" spans="1:8">
      <c r="A81" s="62" t="s">
        <v>69</v>
      </c>
      <c r="B81" s="61" t="s">
        <v>1751</v>
      </c>
      <c r="C81" s="61" t="s">
        <v>1778</v>
      </c>
      <c r="D81" s="61" t="s">
        <v>1552</v>
      </c>
      <c r="E81" s="63" t="s">
        <v>1530</v>
      </c>
      <c r="F81" s="64">
        <v>5</v>
      </c>
      <c r="G81" s="65">
        <v>500</v>
      </c>
      <c r="H81" s="65">
        <v>2500</v>
      </c>
    </row>
    <row r="82" ht="18" customHeight="true" spans="1:8">
      <c r="A82" s="62" t="s">
        <v>69</v>
      </c>
      <c r="B82" s="61" t="s">
        <v>1751</v>
      </c>
      <c r="C82" s="61" t="s">
        <v>1779</v>
      </c>
      <c r="D82" s="61" t="s">
        <v>1568</v>
      </c>
      <c r="E82" s="63" t="s">
        <v>1522</v>
      </c>
      <c r="F82" s="64">
        <v>2</v>
      </c>
      <c r="G82" s="65">
        <v>1000</v>
      </c>
      <c r="H82" s="65">
        <v>2000</v>
      </c>
    </row>
    <row r="83" ht="18" customHeight="true" spans="1:8">
      <c r="A83" s="62" t="s">
        <v>69</v>
      </c>
      <c r="B83" s="61" t="s">
        <v>1751</v>
      </c>
      <c r="C83" s="61" t="s">
        <v>1755</v>
      </c>
      <c r="D83" s="61" t="s">
        <v>1534</v>
      </c>
      <c r="E83" s="63" t="s">
        <v>1522</v>
      </c>
      <c r="F83" s="64">
        <v>3</v>
      </c>
      <c r="G83" s="65">
        <v>1500</v>
      </c>
      <c r="H83" s="65">
        <v>4500</v>
      </c>
    </row>
    <row r="84" ht="18" customHeight="true" spans="1:8">
      <c r="A84" s="62" t="s">
        <v>69</v>
      </c>
      <c r="B84" s="61" t="s">
        <v>1751</v>
      </c>
      <c r="C84" s="61" t="s">
        <v>1780</v>
      </c>
      <c r="D84" s="61" t="s">
        <v>1567</v>
      </c>
      <c r="E84" s="63" t="s">
        <v>1565</v>
      </c>
      <c r="F84" s="64">
        <v>15</v>
      </c>
      <c r="G84" s="65">
        <v>1200</v>
      </c>
      <c r="H84" s="65">
        <v>18000</v>
      </c>
    </row>
    <row r="85" ht="18" customHeight="true" spans="1:8">
      <c r="A85" s="62" t="s">
        <v>69</v>
      </c>
      <c r="B85" s="61" t="s">
        <v>1751</v>
      </c>
      <c r="C85" s="61" t="s">
        <v>1756</v>
      </c>
      <c r="D85" s="61" t="s">
        <v>1586</v>
      </c>
      <c r="E85" s="63" t="s">
        <v>1508</v>
      </c>
      <c r="F85" s="64">
        <v>1</v>
      </c>
      <c r="G85" s="65">
        <v>3500</v>
      </c>
      <c r="H85" s="65">
        <v>3500</v>
      </c>
    </row>
    <row r="86" ht="18" customHeight="true" spans="1:8">
      <c r="A86" s="62" t="s">
        <v>69</v>
      </c>
      <c r="B86" s="61" t="s">
        <v>1751</v>
      </c>
      <c r="C86" s="61" t="s">
        <v>1780</v>
      </c>
      <c r="D86" s="61" t="s">
        <v>1555</v>
      </c>
      <c r="E86" s="63" t="s">
        <v>1530</v>
      </c>
      <c r="F86" s="64">
        <v>6</v>
      </c>
      <c r="G86" s="65">
        <v>200</v>
      </c>
      <c r="H86" s="65">
        <v>1200</v>
      </c>
    </row>
    <row r="87" ht="18" customHeight="true" spans="1:8">
      <c r="A87" s="62" t="s">
        <v>69</v>
      </c>
      <c r="B87" s="61" t="s">
        <v>1751</v>
      </c>
      <c r="C87" s="61" t="s">
        <v>1781</v>
      </c>
      <c r="D87" s="61" t="s">
        <v>1594</v>
      </c>
      <c r="E87" s="63" t="s">
        <v>1508</v>
      </c>
      <c r="F87" s="64">
        <v>1</v>
      </c>
      <c r="G87" s="65">
        <v>1240</v>
      </c>
      <c r="H87" s="65">
        <v>1240</v>
      </c>
    </row>
    <row r="88" ht="18" customHeight="true" spans="1:8">
      <c r="A88" s="62" t="s">
        <v>69</v>
      </c>
      <c r="B88" s="61" t="s">
        <v>1751</v>
      </c>
      <c r="C88" s="61" t="s">
        <v>1755</v>
      </c>
      <c r="D88" s="61" t="s">
        <v>1533</v>
      </c>
      <c r="E88" s="63" t="s">
        <v>1522</v>
      </c>
      <c r="F88" s="64">
        <v>2</v>
      </c>
      <c r="G88" s="65">
        <v>240</v>
      </c>
      <c r="H88" s="65">
        <v>480</v>
      </c>
    </row>
    <row r="89" ht="18" customHeight="true" spans="1:8">
      <c r="A89" s="62" t="s">
        <v>69</v>
      </c>
      <c r="B89" s="61" t="s">
        <v>1751</v>
      </c>
      <c r="C89" s="61" t="s">
        <v>1782</v>
      </c>
      <c r="D89" s="61" t="s">
        <v>1561</v>
      </c>
      <c r="E89" s="63" t="s">
        <v>1522</v>
      </c>
      <c r="F89" s="64">
        <v>3</v>
      </c>
      <c r="G89" s="65">
        <v>800</v>
      </c>
      <c r="H89" s="65">
        <v>2400</v>
      </c>
    </row>
    <row r="90" ht="18" customHeight="true" spans="1:8">
      <c r="A90" s="62" t="s">
        <v>69</v>
      </c>
      <c r="B90" s="61" t="s">
        <v>1751</v>
      </c>
      <c r="C90" s="61" t="s">
        <v>1783</v>
      </c>
      <c r="D90" s="61" t="s">
        <v>1569</v>
      </c>
      <c r="E90" s="63" t="s">
        <v>1530</v>
      </c>
      <c r="F90" s="64">
        <v>12</v>
      </c>
      <c r="G90" s="65">
        <v>400</v>
      </c>
      <c r="H90" s="65">
        <v>4800</v>
      </c>
    </row>
    <row r="91" ht="18" customHeight="true" spans="1:8">
      <c r="A91" s="62" t="s">
        <v>69</v>
      </c>
      <c r="B91" s="61" t="s">
        <v>1751</v>
      </c>
      <c r="C91" s="61" t="s">
        <v>1784</v>
      </c>
      <c r="D91" s="61" t="s">
        <v>1529</v>
      </c>
      <c r="E91" s="63" t="s">
        <v>1530</v>
      </c>
      <c r="F91" s="64">
        <v>3</v>
      </c>
      <c r="G91" s="65">
        <v>800</v>
      </c>
      <c r="H91" s="65">
        <v>2400</v>
      </c>
    </row>
    <row r="92" ht="18" customHeight="true" spans="1:8">
      <c r="A92" s="62" t="s">
        <v>69</v>
      </c>
      <c r="B92" s="61" t="s">
        <v>1751</v>
      </c>
      <c r="C92" s="61" t="s">
        <v>1777</v>
      </c>
      <c r="D92" s="61" t="s">
        <v>1540</v>
      </c>
      <c r="E92" s="63" t="s">
        <v>1565</v>
      </c>
      <c r="F92" s="64">
        <v>4</v>
      </c>
      <c r="G92" s="65">
        <v>2000</v>
      </c>
      <c r="H92" s="65">
        <v>8000</v>
      </c>
    </row>
    <row r="93" ht="18" customHeight="true" spans="1:8">
      <c r="A93" s="62" t="s">
        <v>69</v>
      </c>
      <c r="B93" s="61" t="s">
        <v>1751</v>
      </c>
      <c r="C93" s="61" t="s">
        <v>1777</v>
      </c>
      <c r="D93" s="61" t="s">
        <v>1540</v>
      </c>
      <c r="E93" s="63" t="s">
        <v>1565</v>
      </c>
      <c r="F93" s="64">
        <v>2</v>
      </c>
      <c r="G93" s="65">
        <v>1800</v>
      </c>
      <c r="H93" s="65">
        <v>3600</v>
      </c>
    </row>
    <row r="94" ht="18" customHeight="true" spans="1:8">
      <c r="A94" s="62" t="s">
        <v>69</v>
      </c>
      <c r="B94" s="61" t="s">
        <v>1751</v>
      </c>
      <c r="C94" s="61" t="s">
        <v>1779</v>
      </c>
      <c r="D94" s="61" t="s">
        <v>1583</v>
      </c>
      <c r="E94" s="63" t="s">
        <v>1522</v>
      </c>
      <c r="F94" s="64">
        <v>10</v>
      </c>
      <c r="G94" s="65">
        <v>800</v>
      </c>
      <c r="H94" s="65">
        <v>8000</v>
      </c>
    </row>
    <row r="95" ht="18" customHeight="true" spans="1:8">
      <c r="A95" s="62" t="s">
        <v>69</v>
      </c>
      <c r="B95" s="61" t="s">
        <v>1751</v>
      </c>
      <c r="C95" s="61" t="s">
        <v>1778</v>
      </c>
      <c r="D95" s="61" t="s">
        <v>1552</v>
      </c>
      <c r="E95" s="63" t="s">
        <v>1530</v>
      </c>
      <c r="F95" s="64">
        <v>7</v>
      </c>
      <c r="G95" s="65">
        <v>800</v>
      </c>
      <c r="H95" s="65">
        <v>5600</v>
      </c>
    </row>
    <row r="96" ht="18" customHeight="true" spans="1:8">
      <c r="A96" s="62" t="s">
        <v>69</v>
      </c>
      <c r="B96" s="61" t="s">
        <v>1751</v>
      </c>
      <c r="C96" s="61" t="s">
        <v>1755</v>
      </c>
      <c r="D96" s="61" t="s">
        <v>1533</v>
      </c>
      <c r="E96" s="63" t="s">
        <v>1522</v>
      </c>
      <c r="F96" s="64">
        <v>5</v>
      </c>
      <c r="G96" s="65">
        <v>200</v>
      </c>
      <c r="H96" s="65">
        <v>1000</v>
      </c>
    </row>
    <row r="97" ht="18" customHeight="true" spans="1:8">
      <c r="A97" s="62" t="s">
        <v>69</v>
      </c>
      <c r="B97" s="61" t="s">
        <v>1751</v>
      </c>
      <c r="C97" s="61" t="s">
        <v>1782</v>
      </c>
      <c r="D97" s="61" t="s">
        <v>1561</v>
      </c>
      <c r="E97" s="63" t="s">
        <v>1522</v>
      </c>
      <c r="F97" s="64">
        <v>1</v>
      </c>
      <c r="G97" s="65">
        <v>800</v>
      </c>
      <c r="H97" s="65">
        <v>800</v>
      </c>
    </row>
    <row r="98" ht="18" customHeight="true" spans="1:8">
      <c r="A98" s="62" t="s">
        <v>69</v>
      </c>
      <c r="B98" s="61" t="s">
        <v>1751</v>
      </c>
      <c r="C98" s="61" t="s">
        <v>1755</v>
      </c>
      <c r="D98" s="61" t="s">
        <v>1533</v>
      </c>
      <c r="E98" s="63" t="s">
        <v>1522</v>
      </c>
      <c r="F98" s="64">
        <v>2</v>
      </c>
      <c r="G98" s="65">
        <v>190</v>
      </c>
      <c r="H98" s="65">
        <v>380</v>
      </c>
    </row>
    <row r="99" ht="18" customHeight="true" spans="1:8">
      <c r="A99" s="62" t="s">
        <v>69</v>
      </c>
      <c r="B99" s="61" t="s">
        <v>1751</v>
      </c>
      <c r="C99" s="61" t="s">
        <v>1780</v>
      </c>
      <c r="D99" s="61" t="s">
        <v>1593</v>
      </c>
      <c r="E99" s="63" t="s">
        <v>1530</v>
      </c>
      <c r="F99" s="64">
        <v>2</v>
      </c>
      <c r="G99" s="65">
        <v>50</v>
      </c>
      <c r="H99" s="65">
        <v>100</v>
      </c>
    </row>
    <row r="100" ht="18" customHeight="true" spans="1:8">
      <c r="A100" s="62" t="s">
        <v>69</v>
      </c>
      <c r="B100" s="61" t="s">
        <v>1751</v>
      </c>
      <c r="C100" s="61" t="s">
        <v>1780</v>
      </c>
      <c r="D100" s="61" t="s">
        <v>1546</v>
      </c>
      <c r="E100" s="63" t="s">
        <v>1530</v>
      </c>
      <c r="F100" s="64">
        <v>8</v>
      </c>
      <c r="G100" s="65">
        <v>400</v>
      </c>
      <c r="H100" s="65">
        <v>3200</v>
      </c>
    </row>
    <row r="101" ht="18" customHeight="true" spans="1:8">
      <c r="A101" s="62" t="s">
        <v>69</v>
      </c>
      <c r="B101" s="61" t="s">
        <v>1785</v>
      </c>
      <c r="C101" s="61" t="s">
        <v>1786</v>
      </c>
      <c r="D101" s="61" t="s">
        <v>1548</v>
      </c>
      <c r="E101" s="63" t="s">
        <v>1185</v>
      </c>
      <c r="F101" s="64">
        <v>120</v>
      </c>
      <c r="G101" s="65">
        <v>750</v>
      </c>
      <c r="H101" s="65">
        <v>90000</v>
      </c>
    </row>
    <row r="102" ht="18" customHeight="true" spans="1:8">
      <c r="A102" s="62" t="s">
        <v>73</v>
      </c>
      <c r="B102" s="61" t="s">
        <v>1741</v>
      </c>
      <c r="C102" s="61" t="s">
        <v>1764</v>
      </c>
      <c r="D102" s="61" t="s">
        <v>1787</v>
      </c>
      <c r="E102" s="63" t="s">
        <v>998</v>
      </c>
      <c r="F102" s="64">
        <v>1</v>
      </c>
      <c r="G102" s="65">
        <v>8000</v>
      </c>
      <c r="H102" s="65">
        <v>8000</v>
      </c>
    </row>
    <row r="103" ht="18" customHeight="true" spans="1:8">
      <c r="A103" s="62" t="s">
        <v>73</v>
      </c>
      <c r="B103" s="61" t="s">
        <v>1741</v>
      </c>
      <c r="C103" s="61" t="s">
        <v>1788</v>
      </c>
      <c r="D103" s="61" t="s">
        <v>1789</v>
      </c>
      <c r="E103" s="63" t="s">
        <v>998</v>
      </c>
      <c r="F103" s="64">
        <v>1</v>
      </c>
      <c r="G103" s="65">
        <v>15000</v>
      </c>
      <c r="H103" s="65">
        <v>15000</v>
      </c>
    </row>
    <row r="104" ht="18" customHeight="true" spans="1:8">
      <c r="A104" s="62" t="s">
        <v>73</v>
      </c>
      <c r="B104" s="61" t="s">
        <v>1741</v>
      </c>
      <c r="C104" s="61" t="s">
        <v>1788</v>
      </c>
      <c r="D104" s="61" t="s">
        <v>1790</v>
      </c>
      <c r="E104" s="63" t="s">
        <v>998</v>
      </c>
      <c r="F104" s="64">
        <v>1</v>
      </c>
      <c r="G104" s="65">
        <v>40000</v>
      </c>
      <c r="H104" s="65">
        <v>40000</v>
      </c>
    </row>
    <row r="105" ht="18" customHeight="true" spans="1:8">
      <c r="A105" s="62" t="s">
        <v>73</v>
      </c>
      <c r="B105" s="61" t="s">
        <v>1741</v>
      </c>
      <c r="C105" s="61" t="s">
        <v>1764</v>
      </c>
      <c r="D105" s="61" t="s">
        <v>1791</v>
      </c>
      <c r="E105" s="63" t="s">
        <v>998</v>
      </c>
      <c r="F105" s="64">
        <v>1</v>
      </c>
      <c r="G105" s="65">
        <v>1000000</v>
      </c>
      <c r="H105" s="65">
        <v>1000000</v>
      </c>
    </row>
    <row r="106" ht="18" customHeight="true" spans="1:8">
      <c r="A106" s="62" t="s">
        <v>73</v>
      </c>
      <c r="B106" s="61" t="s">
        <v>1741</v>
      </c>
      <c r="C106" s="61" t="s">
        <v>1792</v>
      </c>
      <c r="D106" s="61" t="s">
        <v>1793</v>
      </c>
      <c r="E106" s="63" t="s">
        <v>998</v>
      </c>
      <c r="F106" s="64">
        <v>1</v>
      </c>
      <c r="G106" s="65">
        <v>2600000</v>
      </c>
      <c r="H106" s="65">
        <v>2600000</v>
      </c>
    </row>
    <row r="107" ht="18" customHeight="true" spans="1:8">
      <c r="A107" s="62" t="s">
        <v>73</v>
      </c>
      <c r="B107" s="61" t="s">
        <v>1741</v>
      </c>
      <c r="C107" s="61" t="s">
        <v>1794</v>
      </c>
      <c r="D107" s="61" t="s">
        <v>1795</v>
      </c>
      <c r="E107" s="63" t="s">
        <v>998</v>
      </c>
      <c r="F107" s="64">
        <v>1</v>
      </c>
      <c r="G107" s="65">
        <v>15000</v>
      </c>
      <c r="H107" s="65">
        <v>15000</v>
      </c>
    </row>
    <row r="108" ht="18" customHeight="true" spans="1:8">
      <c r="A108" s="62" t="s">
        <v>73</v>
      </c>
      <c r="B108" s="61" t="s">
        <v>1741</v>
      </c>
      <c r="C108" s="61" t="s">
        <v>1788</v>
      </c>
      <c r="D108" s="61" t="s">
        <v>1796</v>
      </c>
      <c r="E108" s="63" t="s">
        <v>998</v>
      </c>
      <c r="F108" s="64">
        <v>1</v>
      </c>
      <c r="G108" s="65">
        <v>250000</v>
      </c>
      <c r="H108" s="65">
        <v>250000</v>
      </c>
    </row>
    <row r="109" ht="18" customHeight="true" spans="1:8">
      <c r="A109" s="62" t="s">
        <v>73</v>
      </c>
      <c r="B109" s="61" t="s">
        <v>1741</v>
      </c>
      <c r="C109" s="61" t="s">
        <v>1764</v>
      </c>
      <c r="D109" s="61" t="s">
        <v>1797</v>
      </c>
      <c r="E109" s="63" t="s">
        <v>998</v>
      </c>
      <c r="F109" s="64">
        <v>1</v>
      </c>
      <c r="G109" s="65">
        <v>2000000</v>
      </c>
      <c r="H109" s="65">
        <v>2000000</v>
      </c>
    </row>
    <row r="110" ht="18" customHeight="true" spans="1:8">
      <c r="A110" s="62" t="s">
        <v>73</v>
      </c>
      <c r="B110" s="61" t="s">
        <v>1741</v>
      </c>
      <c r="C110" s="61" t="s">
        <v>1798</v>
      </c>
      <c r="D110" s="61" t="s">
        <v>1799</v>
      </c>
      <c r="E110" s="63" t="s">
        <v>998</v>
      </c>
      <c r="F110" s="64">
        <v>1</v>
      </c>
      <c r="G110" s="65">
        <v>3000</v>
      </c>
      <c r="H110" s="65">
        <v>3000</v>
      </c>
    </row>
    <row r="111" ht="18" customHeight="true" spans="1:8">
      <c r="A111" s="62" t="s">
        <v>73</v>
      </c>
      <c r="B111" s="61" t="s">
        <v>1741</v>
      </c>
      <c r="C111" s="61" t="s">
        <v>1788</v>
      </c>
      <c r="D111" s="61" t="s">
        <v>1800</v>
      </c>
      <c r="E111" s="63" t="s">
        <v>998</v>
      </c>
      <c r="F111" s="64">
        <v>1</v>
      </c>
      <c r="G111" s="65">
        <v>12000</v>
      </c>
      <c r="H111" s="65">
        <v>12000</v>
      </c>
    </row>
    <row r="112" ht="18" customHeight="true" spans="1:8">
      <c r="A112" s="62" t="s">
        <v>73</v>
      </c>
      <c r="B112" s="61" t="s">
        <v>1741</v>
      </c>
      <c r="C112" s="61" t="s">
        <v>1788</v>
      </c>
      <c r="D112" s="61" t="s">
        <v>1801</v>
      </c>
      <c r="E112" s="63" t="s">
        <v>998</v>
      </c>
      <c r="F112" s="64">
        <v>1</v>
      </c>
      <c r="G112" s="65">
        <v>10000</v>
      </c>
      <c r="H112" s="65">
        <v>10000</v>
      </c>
    </row>
    <row r="113" ht="18" customHeight="true" spans="1:8">
      <c r="A113" s="62" t="s">
        <v>73</v>
      </c>
      <c r="B113" s="61" t="s">
        <v>1741</v>
      </c>
      <c r="C113" s="61" t="s">
        <v>1788</v>
      </c>
      <c r="D113" s="61" t="s">
        <v>1802</v>
      </c>
      <c r="E113" s="63" t="s">
        <v>998</v>
      </c>
      <c r="F113" s="64">
        <v>1</v>
      </c>
      <c r="G113" s="65">
        <v>40000</v>
      </c>
      <c r="H113" s="65">
        <v>40000</v>
      </c>
    </row>
    <row r="114" ht="18" customHeight="true" spans="1:8">
      <c r="A114" s="62" t="s">
        <v>73</v>
      </c>
      <c r="B114" s="61" t="s">
        <v>1741</v>
      </c>
      <c r="C114" s="61" t="s">
        <v>1788</v>
      </c>
      <c r="D114" s="61" t="s">
        <v>1803</v>
      </c>
      <c r="E114" s="63" t="s">
        <v>998</v>
      </c>
      <c r="F114" s="64">
        <v>1</v>
      </c>
      <c r="G114" s="65">
        <v>70000</v>
      </c>
      <c r="H114" s="65">
        <v>70000</v>
      </c>
    </row>
    <row r="115" ht="18" customHeight="true" spans="1:8">
      <c r="A115" s="62" t="s">
        <v>73</v>
      </c>
      <c r="B115" s="61" t="s">
        <v>1751</v>
      </c>
      <c r="C115" s="61" t="s">
        <v>1804</v>
      </c>
      <c r="D115" s="61" t="s">
        <v>1805</v>
      </c>
      <c r="E115" s="63" t="s">
        <v>1565</v>
      </c>
      <c r="F115" s="64">
        <v>4</v>
      </c>
      <c r="G115" s="65">
        <v>800</v>
      </c>
      <c r="H115" s="65">
        <v>3200</v>
      </c>
    </row>
    <row r="116" ht="18" customHeight="true" spans="1:8">
      <c r="A116" s="62" t="s">
        <v>73</v>
      </c>
      <c r="B116" s="61" t="s">
        <v>1751</v>
      </c>
      <c r="C116" s="61" t="s">
        <v>1780</v>
      </c>
      <c r="D116" s="61" t="s">
        <v>1806</v>
      </c>
      <c r="E116" s="63" t="s">
        <v>998</v>
      </c>
      <c r="F116" s="64">
        <v>8</v>
      </c>
      <c r="G116" s="65">
        <v>660</v>
      </c>
      <c r="H116" s="65">
        <v>5280</v>
      </c>
    </row>
    <row r="117" ht="18" customHeight="true" spans="1:8">
      <c r="A117" s="62" t="s">
        <v>73</v>
      </c>
      <c r="B117" s="61" t="s">
        <v>1751</v>
      </c>
      <c r="C117" s="61" t="s">
        <v>1807</v>
      </c>
      <c r="D117" s="61" t="s">
        <v>1808</v>
      </c>
      <c r="E117" s="63" t="s">
        <v>998</v>
      </c>
      <c r="F117" s="64">
        <v>96</v>
      </c>
      <c r="G117" s="65">
        <v>360</v>
      </c>
      <c r="H117" s="65">
        <v>34560</v>
      </c>
    </row>
    <row r="118" ht="18" customHeight="true" spans="1:8">
      <c r="A118" s="62" t="s">
        <v>73</v>
      </c>
      <c r="B118" s="61" t="s">
        <v>1751</v>
      </c>
      <c r="C118" s="61" t="s">
        <v>1809</v>
      </c>
      <c r="D118" s="61" t="s">
        <v>1810</v>
      </c>
      <c r="E118" s="63" t="s">
        <v>1565</v>
      </c>
      <c r="F118" s="64">
        <v>48</v>
      </c>
      <c r="G118" s="65">
        <v>280</v>
      </c>
      <c r="H118" s="65">
        <v>13440</v>
      </c>
    </row>
    <row r="119" ht="18" customHeight="true" spans="1:8">
      <c r="A119" s="62" t="s">
        <v>73</v>
      </c>
      <c r="B119" s="61" t="s">
        <v>1751</v>
      </c>
      <c r="C119" s="61" t="s">
        <v>1782</v>
      </c>
      <c r="D119" s="61" t="s">
        <v>1679</v>
      </c>
      <c r="E119" s="63" t="s">
        <v>998</v>
      </c>
      <c r="F119" s="64">
        <v>6</v>
      </c>
      <c r="G119" s="65">
        <v>800</v>
      </c>
      <c r="H119" s="65">
        <v>4800</v>
      </c>
    </row>
    <row r="120" ht="18" customHeight="true" spans="1:8">
      <c r="A120" s="62" t="s">
        <v>75</v>
      </c>
      <c r="B120" s="61" t="s">
        <v>1741</v>
      </c>
      <c r="C120" s="61" t="s">
        <v>1811</v>
      </c>
      <c r="D120" s="61" t="s">
        <v>1675</v>
      </c>
      <c r="E120" s="63" t="s">
        <v>1508</v>
      </c>
      <c r="F120" s="64">
        <v>25</v>
      </c>
      <c r="G120" s="65">
        <v>5480</v>
      </c>
      <c r="H120" s="65">
        <v>137000</v>
      </c>
    </row>
    <row r="121" ht="18" customHeight="true" spans="1:8">
      <c r="A121" s="62" t="s">
        <v>75</v>
      </c>
      <c r="B121" s="61" t="s">
        <v>1741</v>
      </c>
      <c r="C121" s="61" t="s">
        <v>1812</v>
      </c>
      <c r="D121" s="61" t="s">
        <v>1813</v>
      </c>
      <c r="E121" s="63" t="s">
        <v>1508</v>
      </c>
      <c r="F121" s="64">
        <v>5</v>
      </c>
      <c r="G121" s="65">
        <v>4000</v>
      </c>
      <c r="H121" s="65">
        <v>20000</v>
      </c>
    </row>
    <row r="122" ht="18" customHeight="true" spans="1:8">
      <c r="A122" s="62" t="s">
        <v>75</v>
      </c>
      <c r="B122" s="61" t="s">
        <v>1741</v>
      </c>
      <c r="C122" s="61" t="s">
        <v>1743</v>
      </c>
      <c r="D122" s="61" t="s">
        <v>1814</v>
      </c>
      <c r="E122" s="63" t="s">
        <v>1508</v>
      </c>
      <c r="F122" s="64">
        <v>2</v>
      </c>
      <c r="G122" s="65">
        <v>40000</v>
      </c>
      <c r="H122" s="65">
        <v>80000</v>
      </c>
    </row>
    <row r="123" ht="18" customHeight="true" spans="1:8">
      <c r="A123" s="62" t="s">
        <v>75</v>
      </c>
      <c r="B123" s="61" t="s">
        <v>1741</v>
      </c>
      <c r="C123" s="61" t="s">
        <v>1815</v>
      </c>
      <c r="D123" s="61" t="s">
        <v>1816</v>
      </c>
      <c r="E123" s="63" t="s">
        <v>1508</v>
      </c>
      <c r="F123" s="64">
        <v>4</v>
      </c>
      <c r="G123" s="65">
        <v>6250</v>
      </c>
      <c r="H123" s="65">
        <v>25000</v>
      </c>
    </row>
    <row r="124" ht="18" customHeight="true" spans="1:8">
      <c r="A124" s="62" t="s">
        <v>75</v>
      </c>
      <c r="B124" s="61" t="s">
        <v>1741</v>
      </c>
      <c r="C124" s="61" t="s">
        <v>1817</v>
      </c>
      <c r="D124" s="61" t="s">
        <v>1525</v>
      </c>
      <c r="E124" s="63" t="s">
        <v>998</v>
      </c>
      <c r="F124" s="64">
        <v>9</v>
      </c>
      <c r="G124" s="65">
        <v>3000</v>
      </c>
      <c r="H124" s="65">
        <v>27000</v>
      </c>
    </row>
    <row r="125" ht="18" customHeight="true" spans="1:8">
      <c r="A125" s="62" t="s">
        <v>75</v>
      </c>
      <c r="B125" s="61" t="s">
        <v>1741</v>
      </c>
      <c r="C125" s="61" t="s">
        <v>1743</v>
      </c>
      <c r="D125" s="61" t="s">
        <v>1818</v>
      </c>
      <c r="E125" s="63" t="s">
        <v>1508</v>
      </c>
      <c r="F125" s="64">
        <v>2</v>
      </c>
      <c r="G125" s="65">
        <v>19800</v>
      </c>
      <c r="H125" s="65">
        <v>39600</v>
      </c>
    </row>
    <row r="126" ht="18" customHeight="true" spans="1:8">
      <c r="A126" s="62" t="s">
        <v>75</v>
      </c>
      <c r="B126" s="61" t="s">
        <v>1741</v>
      </c>
      <c r="C126" s="61" t="s">
        <v>1749</v>
      </c>
      <c r="D126" s="61" t="s">
        <v>1819</v>
      </c>
      <c r="E126" s="63" t="s">
        <v>1508</v>
      </c>
      <c r="F126" s="64">
        <v>500</v>
      </c>
      <c r="G126" s="65">
        <v>5380</v>
      </c>
      <c r="H126" s="65">
        <v>2690000</v>
      </c>
    </row>
    <row r="127" ht="18" customHeight="true" spans="1:8">
      <c r="A127" s="62" t="s">
        <v>75</v>
      </c>
      <c r="B127" s="61" t="s">
        <v>1741</v>
      </c>
      <c r="C127" s="61" t="s">
        <v>1820</v>
      </c>
      <c r="D127" s="61" t="s">
        <v>1677</v>
      </c>
      <c r="E127" s="63" t="s">
        <v>1508</v>
      </c>
      <c r="F127" s="64">
        <v>5</v>
      </c>
      <c r="G127" s="65">
        <v>6860</v>
      </c>
      <c r="H127" s="65">
        <v>34300</v>
      </c>
    </row>
    <row r="128" ht="18" customHeight="true" spans="1:8">
      <c r="A128" s="62" t="s">
        <v>75</v>
      </c>
      <c r="B128" s="61" t="s">
        <v>1741</v>
      </c>
      <c r="C128" s="61" t="s">
        <v>1748</v>
      </c>
      <c r="D128" s="61" t="s">
        <v>1821</v>
      </c>
      <c r="E128" s="63" t="s">
        <v>1508</v>
      </c>
      <c r="F128" s="64">
        <v>10</v>
      </c>
      <c r="G128" s="65">
        <v>1480</v>
      </c>
      <c r="H128" s="65">
        <v>14800</v>
      </c>
    </row>
    <row r="129" ht="18" customHeight="true" spans="1:8">
      <c r="A129" s="62" t="s">
        <v>75</v>
      </c>
      <c r="B129" s="61" t="s">
        <v>1741</v>
      </c>
      <c r="C129" s="61" t="s">
        <v>1822</v>
      </c>
      <c r="D129" s="61" t="s">
        <v>1823</v>
      </c>
      <c r="E129" s="63" t="s">
        <v>1185</v>
      </c>
      <c r="F129" s="64">
        <v>1</v>
      </c>
      <c r="G129" s="65">
        <v>5000</v>
      </c>
      <c r="H129" s="65">
        <v>5000</v>
      </c>
    </row>
    <row r="130" ht="18" customHeight="true" spans="1:8">
      <c r="A130" s="62" t="s">
        <v>75</v>
      </c>
      <c r="B130" s="61" t="s">
        <v>1741</v>
      </c>
      <c r="C130" s="61" t="s">
        <v>1824</v>
      </c>
      <c r="D130" s="61" t="s">
        <v>1825</v>
      </c>
      <c r="E130" s="63" t="s">
        <v>1185</v>
      </c>
      <c r="F130" s="64">
        <v>1</v>
      </c>
      <c r="G130" s="65">
        <v>45000</v>
      </c>
      <c r="H130" s="65">
        <v>45000</v>
      </c>
    </row>
    <row r="131" ht="18" customHeight="true" spans="1:8">
      <c r="A131" s="62" t="s">
        <v>75</v>
      </c>
      <c r="B131" s="61" t="s">
        <v>1741</v>
      </c>
      <c r="C131" s="61" t="s">
        <v>1826</v>
      </c>
      <c r="D131" s="61" t="s">
        <v>1827</v>
      </c>
      <c r="E131" s="63" t="s">
        <v>1508</v>
      </c>
      <c r="F131" s="64">
        <v>1</v>
      </c>
      <c r="G131" s="65">
        <v>350000</v>
      </c>
      <c r="H131" s="65">
        <v>350000</v>
      </c>
    </row>
    <row r="132" ht="18" customHeight="true" spans="1:8">
      <c r="A132" s="62" t="s">
        <v>75</v>
      </c>
      <c r="B132" s="61" t="s">
        <v>1741</v>
      </c>
      <c r="C132" s="61" t="s">
        <v>1742</v>
      </c>
      <c r="D132" s="61" t="s">
        <v>1588</v>
      </c>
      <c r="E132" s="63" t="s">
        <v>1508</v>
      </c>
      <c r="F132" s="64">
        <v>2</v>
      </c>
      <c r="G132" s="65">
        <v>1000</v>
      </c>
      <c r="H132" s="65">
        <v>2000</v>
      </c>
    </row>
    <row r="133" ht="18" customHeight="true" spans="1:8">
      <c r="A133" s="62" t="s">
        <v>75</v>
      </c>
      <c r="B133" s="61" t="s">
        <v>1741</v>
      </c>
      <c r="C133" s="61" t="s">
        <v>1828</v>
      </c>
      <c r="D133" s="61" t="s">
        <v>1829</v>
      </c>
      <c r="E133" s="63" t="s">
        <v>1508</v>
      </c>
      <c r="F133" s="64">
        <v>2</v>
      </c>
      <c r="G133" s="65">
        <v>4000</v>
      </c>
      <c r="H133" s="65">
        <v>8000</v>
      </c>
    </row>
    <row r="134" ht="18" customHeight="true" spans="1:8">
      <c r="A134" s="62" t="s">
        <v>75</v>
      </c>
      <c r="B134" s="61" t="s">
        <v>1741</v>
      </c>
      <c r="C134" s="61" t="s">
        <v>1830</v>
      </c>
      <c r="D134" s="61" t="s">
        <v>1831</v>
      </c>
      <c r="E134" s="63" t="s">
        <v>998</v>
      </c>
      <c r="F134" s="64">
        <v>10</v>
      </c>
      <c r="G134" s="65">
        <v>1200</v>
      </c>
      <c r="H134" s="65">
        <v>12000</v>
      </c>
    </row>
    <row r="135" ht="18" customHeight="true" spans="1:8">
      <c r="A135" s="62" t="s">
        <v>75</v>
      </c>
      <c r="B135" s="61" t="s">
        <v>1751</v>
      </c>
      <c r="C135" s="61" t="s">
        <v>1832</v>
      </c>
      <c r="D135" s="61" t="s">
        <v>1619</v>
      </c>
      <c r="E135" s="63" t="s">
        <v>1508</v>
      </c>
      <c r="F135" s="64">
        <v>2</v>
      </c>
      <c r="G135" s="65">
        <v>3300</v>
      </c>
      <c r="H135" s="65">
        <v>6600</v>
      </c>
    </row>
    <row r="136" ht="18" customHeight="true" spans="1:8">
      <c r="A136" s="62" t="s">
        <v>75</v>
      </c>
      <c r="B136" s="61" t="s">
        <v>1751</v>
      </c>
      <c r="C136" s="61" t="s">
        <v>1833</v>
      </c>
      <c r="D136" s="61" t="s">
        <v>1834</v>
      </c>
      <c r="E136" s="63" t="s">
        <v>998</v>
      </c>
      <c r="F136" s="64">
        <v>3</v>
      </c>
      <c r="G136" s="65">
        <v>1900</v>
      </c>
      <c r="H136" s="65">
        <v>5700</v>
      </c>
    </row>
    <row r="137" ht="18" customHeight="true" spans="1:8">
      <c r="A137" s="62" t="s">
        <v>75</v>
      </c>
      <c r="B137" s="61" t="s">
        <v>1751</v>
      </c>
      <c r="C137" s="61" t="s">
        <v>1835</v>
      </c>
      <c r="D137" s="61" t="s">
        <v>1836</v>
      </c>
      <c r="E137" s="63" t="s">
        <v>998</v>
      </c>
      <c r="F137" s="64">
        <v>9</v>
      </c>
      <c r="G137" s="65">
        <v>3778</v>
      </c>
      <c r="H137" s="65">
        <v>34002</v>
      </c>
    </row>
    <row r="138" ht="18" customHeight="true" spans="1:8">
      <c r="A138" s="62" t="s">
        <v>75</v>
      </c>
      <c r="B138" s="61" t="s">
        <v>1751</v>
      </c>
      <c r="C138" s="61" t="s">
        <v>1777</v>
      </c>
      <c r="D138" s="61" t="s">
        <v>1540</v>
      </c>
      <c r="E138" s="63" t="s">
        <v>1565</v>
      </c>
      <c r="F138" s="64">
        <v>12</v>
      </c>
      <c r="G138" s="65">
        <v>1200</v>
      </c>
      <c r="H138" s="65">
        <v>14400</v>
      </c>
    </row>
    <row r="139" ht="18" customHeight="true" spans="1:8">
      <c r="A139" s="62" t="s">
        <v>75</v>
      </c>
      <c r="B139" s="61" t="s">
        <v>1751</v>
      </c>
      <c r="C139" s="61" t="s">
        <v>1837</v>
      </c>
      <c r="D139" s="61" t="s">
        <v>1838</v>
      </c>
      <c r="E139" s="63" t="s">
        <v>1565</v>
      </c>
      <c r="F139" s="64">
        <v>3</v>
      </c>
      <c r="G139" s="65">
        <v>3000</v>
      </c>
      <c r="H139" s="65">
        <v>9000</v>
      </c>
    </row>
    <row r="140" ht="18" customHeight="true" spans="1:8">
      <c r="A140" s="62" t="s">
        <v>75</v>
      </c>
      <c r="B140" s="61" t="s">
        <v>1751</v>
      </c>
      <c r="C140" s="61" t="s">
        <v>1782</v>
      </c>
      <c r="D140" s="61" t="s">
        <v>1561</v>
      </c>
      <c r="E140" s="63" t="s">
        <v>998</v>
      </c>
      <c r="F140" s="64">
        <v>6</v>
      </c>
      <c r="G140" s="65">
        <v>800</v>
      </c>
      <c r="H140" s="65">
        <v>4800</v>
      </c>
    </row>
    <row r="141" ht="18" customHeight="true" spans="1:8">
      <c r="A141" s="62" t="s">
        <v>75</v>
      </c>
      <c r="B141" s="61" t="s">
        <v>1751</v>
      </c>
      <c r="C141" s="61" t="s">
        <v>1839</v>
      </c>
      <c r="D141" s="61" t="s">
        <v>1840</v>
      </c>
      <c r="E141" s="63" t="s">
        <v>998</v>
      </c>
      <c r="F141" s="64">
        <v>36</v>
      </c>
      <c r="G141" s="65">
        <v>1200</v>
      </c>
      <c r="H141" s="65">
        <v>43200</v>
      </c>
    </row>
    <row r="142" ht="18" customHeight="true" spans="1:8">
      <c r="A142" s="62" t="s">
        <v>75</v>
      </c>
      <c r="B142" s="61" t="s">
        <v>1751</v>
      </c>
      <c r="C142" s="61" t="s">
        <v>1780</v>
      </c>
      <c r="D142" s="61" t="s">
        <v>1841</v>
      </c>
      <c r="E142" s="63" t="s">
        <v>998</v>
      </c>
      <c r="F142" s="64">
        <v>22</v>
      </c>
      <c r="G142" s="65">
        <v>2000</v>
      </c>
      <c r="H142" s="65">
        <v>44000</v>
      </c>
    </row>
    <row r="143" ht="18" customHeight="true" spans="1:8">
      <c r="A143" s="62" t="s">
        <v>75</v>
      </c>
      <c r="B143" s="61" t="s">
        <v>1751</v>
      </c>
      <c r="C143" s="61" t="s">
        <v>1780</v>
      </c>
      <c r="D143" s="61" t="s">
        <v>1842</v>
      </c>
      <c r="E143" s="63" t="s">
        <v>998</v>
      </c>
      <c r="F143" s="64">
        <v>2</v>
      </c>
      <c r="G143" s="65">
        <v>1500</v>
      </c>
      <c r="H143" s="65">
        <v>3000</v>
      </c>
    </row>
    <row r="144" ht="18" customHeight="true" spans="1:8">
      <c r="A144" s="62" t="s">
        <v>75</v>
      </c>
      <c r="B144" s="61" t="s">
        <v>1751</v>
      </c>
      <c r="C144" s="61" t="s">
        <v>1804</v>
      </c>
      <c r="D144" s="61" t="s">
        <v>1843</v>
      </c>
      <c r="E144" s="63" t="s">
        <v>1565</v>
      </c>
      <c r="F144" s="64">
        <v>10</v>
      </c>
      <c r="G144" s="65">
        <v>900</v>
      </c>
      <c r="H144" s="65">
        <v>9000</v>
      </c>
    </row>
    <row r="145" ht="18" customHeight="true" spans="1:8">
      <c r="A145" s="62" t="s">
        <v>75</v>
      </c>
      <c r="B145" s="61" t="s">
        <v>1751</v>
      </c>
      <c r="C145" s="61" t="s">
        <v>1779</v>
      </c>
      <c r="D145" s="61" t="s">
        <v>1844</v>
      </c>
      <c r="E145" s="63" t="s">
        <v>998</v>
      </c>
      <c r="F145" s="64">
        <v>2</v>
      </c>
      <c r="G145" s="65">
        <v>4000</v>
      </c>
      <c r="H145" s="65">
        <v>8000</v>
      </c>
    </row>
    <row r="146" ht="18" customHeight="true" spans="1:8">
      <c r="A146" s="62" t="s">
        <v>75</v>
      </c>
      <c r="B146" s="61" t="s">
        <v>1785</v>
      </c>
      <c r="C146" s="61" t="s">
        <v>1845</v>
      </c>
      <c r="D146" s="61" t="s">
        <v>1846</v>
      </c>
      <c r="E146" s="63" t="s">
        <v>1185</v>
      </c>
      <c r="F146" s="64">
        <v>1</v>
      </c>
      <c r="G146" s="65">
        <v>350000</v>
      </c>
      <c r="H146" s="65">
        <v>350000</v>
      </c>
    </row>
    <row r="147" ht="18" customHeight="true" spans="1:8">
      <c r="A147" s="62" t="s">
        <v>75</v>
      </c>
      <c r="B147" s="61" t="s">
        <v>1785</v>
      </c>
      <c r="C147" s="61" t="s">
        <v>1845</v>
      </c>
      <c r="D147" s="61" t="s">
        <v>1847</v>
      </c>
      <c r="E147" s="63" t="s">
        <v>1185</v>
      </c>
      <c r="F147" s="64">
        <v>1</v>
      </c>
      <c r="G147" s="65">
        <v>960000</v>
      </c>
      <c r="H147" s="65">
        <v>960000</v>
      </c>
    </row>
    <row r="148" ht="18" customHeight="true" spans="1:8">
      <c r="A148" s="62" t="s">
        <v>75</v>
      </c>
      <c r="B148" s="61" t="s">
        <v>1785</v>
      </c>
      <c r="C148" s="61" t="s">
        <v>1845</v>
      </c>
      <c r="D148" s="61" t="s">
        <v>1848</v>
      </c>
      <c r="E148" s="63" t="s">
        <v>1185</v>
      </c>
      <c r="F148" s="64">
        <v>1</v>
      </c>
      <c r="G148" s="65">
        <v>750000</v>
      </c>
      <c r="H148" s="65">
        <v>750000</v>
      </c>
    </row>
    <row r="149" ht="18" customHeight="true" spans="1:8">
      <c r="A149" s="62" t="s">
        <v>75</v>
      </c>
      <c r="B149" s="61" t="s">
        <v>1785</v>
      </c>
      <c r="C149" s="61" t="s">
        <v>1845</v>
      </c>
      <c r="D149" s="61" t="s">
        <v>1849</v>
      </c>
      <c r="E149" s="63" t="s">
        <v>1185</v>
      </c>
      <c r="F149" s="64">
        <v>1</v>
      </c>
      <c r="G149" s="65">
        <v>2980000</v>
      </c>
      <c r="H149" s="65">
        <v>2980000</v>
      </c>
    </row>
    <row r="150" ht="18" customHeight="true" spans="1:8">
      <c r="A150" s="62" t="s">
        <v>75</v>
      </c>
      <c r="B150" s="61" t="s">
        <v>1785</v>
      </c>
      <c r="C150" s="61" t="s">
        <v>1845</v>
      </c>
      <c r="D150" s="61" t="s">
        <v>1850</v>
      </c>
      <c r="E150" s="63" t="s">
        <v>1185</v>
      </c>
      <c r="F150" s="64">
        <v>1</v>
      </c>
      <c r="G150" s="65">
        <v>200000</v>
      </c>
      <c r="H150" s="65">
        <v>200000</v>
      </c>
    </row>
    <row r="151" ht="18" customHeight="true" spans="1:8">
      <c r="A151" s="62" t="s">
        <v>75</v>
      </c>
      <c r="B151" s="61" t="s">
        <v>1785</v>
      </c>
      <c r="C151" s="61" t="s">
        <v>1845</v>
      </c>
      <c r="D151" s="61" t="s">
        <v>1851</v>
      </c>
      <c r="E151" s="63" t="s">
        <v>1185</v>
      </c>
      <c r="F151" s="64">
        <v>1</v>
      </c>
      <c r="G151" s="65">
        <v>330000</v>
      </c>
      <c r="H151" s="65">
        <v>330000</v>
      </c>
    </row>
    <row r="152" ht="18" customHeight="true" spans="1:8">
      <c r="A152" s="62" t="s">
        <v>75</v>
      </c>
      <c r="B152" s="61" t="s">
        <v>1785</v>
      </c>
      <c r="C152" s="61" t="s">
        <v>1845</v>
      </c>
      <c r="D152" s="61" t="s">
        <v>1852</v>
      </c>
      <c r="E152" s="63" t="s">
        <v>1185</v>
      </c>
      <c r="F152" s="64">
        <v>1</v>
      </c>
      <c r="G152" s="65">
        <v>200000</v>
      </c>
      <c r="H152" s="65">
        <v>200000</v>
      </c>
    </row>
    <row r="153" ht="18" customHeight="true" spans="1:8">
      <c r="A153" s="62" t="s">
        <v>75</v>
      </c>
      <c r="B153" s="61" t="s">
        <v>1785</v>
      </c>
      <c r="C153" s="61" t="s">
        <v>1845</v>
      </c>
      <c r="D153" s="61" t="s">
        <v>1853</v>
      </c>
      <c r="E153" s="63" t="s">
        <v>1185</v>
      </c>
      <c r="F153" s="64">
        <v>1</v>
      </c>
      <c r="G153" s="65">
        <v>450000</v>
      </c>
      <c r="H153" s="65">
        <v>450000</v>
      </c>
    </row>
    <row r="154" ht="18" customHeight="true" spans="1:8">
      <c r="A154" s="62" t="s">
        <v>75</v>
      </c>
      <c r="B154" s="61" t="s">
        <v>1785</v>
      </c>
      <c r="C154" s="61" t="s">
        <v>1845</v>
      </c>
      <c r="D154" s="61" t="s">
        <v>1854</v>
      </c>
      <c r="E154" s="63" t="s">
        <v>1185</v>
      </c>
      <c r="F154" s="64">
        <v>1</v>
      </c>
      <c r="G154" s="65">
        <v>1300000</v>
      </c>
      <c r="H154" s="65">
        <v>1300000</v>
      </c>
    </row>
    <row r="155" ht="18" customHeight="true" spans="1:8">
      <c r="A155" s="62" t="s">
        <v>77</v>
      </c>
      <c r="B155" s="61" t="s">
        <v>1741</v>
      </c>
      <c r="C155" s="61" t="s">
        <v>1754</v>
      </c>
      <c r="D155" s="61" t="s">
        <v>1574</v>
      </c>
      <c r="E155" s="63" t="s">
        <v>1508</v>
      </c>
      <c r="F155" s="64">
        <v>1</v>
      </c>
      <c r="G155" s="65">
        <v>3000</v>
      </c>
      <c r="H155" s="65">
        <v>3000</v>
      </c>
    </row>
    <row r="156" ht="18" customHeight="true" spans="1:8">
      <c r="A156" s="62" t="s">
        <v>77</v>
      </c>
      <c r="B156" s="61" t="s">
        <v>1741</v>
      </c>
      <c r="C156" s="61" t="s">
        <v>1820</v>
      </c>
      <c r="D156" s="61" t="s">
        <v>1855</v>
      </c>
      <c r="E156" s="63" t="s">
        <v>1508</v>
      </c>
      <c r="F156" s="64">
        <v>1</v>
      </c>
      <c r="G156" s="65">
        <v>9000</v>
      </c>
      <c r="H156" s="65">
        <v>9000</v>
      </c>
    </row>
    <row r="157" ht="18" customHeight="true" spans="1:8">
      <c r="A157" s="62" t="s">
        <v>77</v>
      </c>
      <c r="B157" s="61" t="s">
        <v>1741</v>
      </c>
      <c r="C157" s="61" t="s">
        <v>1749</v>
      </c>
      <c r="D157" s="61" t="s">
        <v>1554</v>
      </c>
      <c r="E157" s="63" t="s">
        <v>1508</v>
      </c>
      <c r="F157" s="64">
        <v>100</v>
      </c>
      <c r="G157" s="65">
        <v>6000</v>
      </c>
      <c r="H157" s="65">
        <v>600000</v>
      </c>
    </row>
    <row r="158" ht="18" customHeight="true" spans="1:8">
      <c r="A158" s="62" t="s">
        <v>77</v>
      </c>
      <c r="B158" s="61" t="s">
        <v>1741</v>
      </c>
      <c r="C158" s="61" t="s">
        <v>1748</v>
      </c>
      <c r="D158" s="61" t="s">
        <v>1516</v>
      </c>
      <c r="E158" s="63" t="s">
        <v>1508</v>
      </c>
      <c r="F158" s="64">
        <v>9</v>
      </c>
      <c r="G158" s="65">
        <v>1500</v>
      </c>
      <c r="H158" s="65">
        <v>13500</v>
      </c>
    </row>
    <row r="159" ht="18" customHeight="true" spans="1:8">
      <c r="A159" s="62" t="s">
        <v>77</v>
      </c>
      <c r="B159" s="61" t="s">
        <v>1741</v>
      </c>
      <c r="C159" s="61" t="s">
        <v>1856</v>
      </c>
      <c r="D159" s="61" t="s">
        <v>1857</v>
      </c>
      <c r="E159" s="63" t="s">
        <v>1508</v>
      </c>
      <c r="F159" s="64">
        <v>2</v>
      </c>
      <c r="G159" s="65">
        <v>4000</v>
      </c>
      <c r="H159" s="65">
        <v>8000</v>
      </c>
    </row>
    <row r="160" ht="18" customHeight="true" spans="1:8">
      <c r="A160" s="62" t="s">
        <v>77</v>
      </c>
      <c r="B160" s="61" t="s">
        <v>1741</v>
      </c>
      <c r="C160" s="61" t="s">
        <v>1742</v>
      </c>
      <c r="D160" s="61" t="s">
        <v>1588</v>
      </c>
      <c r="E160" s="63" t="s">
        <v>1508</v>
      </c>
      <c r="F160" s="64">
        <v>2</v>
      </c>
      <c r="G160" s="65">
        <v>1000</v>
      </c>
      <c r="H160" s="65">
        <v>2000</v>
      </c>
    </row>
    <row r="161" ht="18" customHeight="true" spans="1:8">
      <c r="A161" s="62" t="s">
        <v>77</v>
      </c>
      <c r="B161" s="61" t="s">
        <v>1741</v>
      </c>
      <c r="C161" s="61" t="s">
        <v>1772</v>
      </c>
      <c r="D161" s="61" t="s">
        <v>1858</v>
      </c>
      <c r="E161" s="63" t="s">
        <v>1508</v>
      </c>
      <c r="F161" s="64">
        <v>1</v>
      </c>
      <c r="G161" s="65">
        <v>25000</v>
      </c>
      <c r="H161" s="65">
        <v>25000</v>
      </c>
    </row>
    <row r="162" ht="18" customHeight="true" spans="1:8">
      <c r="A162" s="62" t="s">
        <v>77</v>
      </c>
      <c r="B162" s="61" t="s">
        <v>1751</v>
      </c>
      <c r="C162" s="61" t="s">
        <v>1778</v>
      </c>
      <c r="D162" s="61" t="s">
        <v>1552</v>
      </c>
      <c r="E162" s="63" t="s">
        <v>1530</v>
      </c>
      <c r="F162" s="64">
        <v>1</v>
      </c>
      <c r="G162" s="65">
        <v>1000</v>
      </c>
      <c r="H162" s="65">
        <v>1000</v>
      </c>
    </row>
    <row r="163" ht="18" customHeight="true" spans="1:8">
      <c r="A163" s="62" t="s">
        <v>77</v>
      </c>
      <c r="B163" s="61" t="s">
        <v>1751</v>
      </c>
      <c r="C163" s="61" t="s">
        <v>1859</v>
      </c>
      <c r="D163" s="61" t="s">
        <v>1860</v>
      </c>
      <c r="E163" s="63" t="s">
        <v>1522</v>
      </c>
      <c r="F163" s="64">
        <v>8</v>
      </c>
      <c r="G163" s="65">
        <v>1500</v>
      </c>
      <c r="H163" s="65">
        <v>12000</v>
      </c>
    </row>
    <row r="164" ht="18" customHeight="true" spans="1:8">
      <c r="A164" s="62" t="s">
        <v>77</v>
      </c>
      <c r="B164" s="61" t="s">
        <v>1751</v>
      </c>
      <c r="C164" s="61" t="s">
        <v>1777</v>
      </c>
      <c r="D164" s="61" t="s">
        <v>1540</v>
      </c>
      <c r="E164" s="63" t="s">
        <v>1565</v>
      </c>
      <c r="F164" s="64">
        <v>8</v>
      </c>
      <c r="G164" s="65">
        <v>2000</v>
      </c>
      <c r="H164" s="65">
        <v>16000</v>
      </c>
    </row>
    <row r="165" ht="18" customHeight="true" spans="1:8">
      <c r="A165" s="62" t="s">
        <v>77</v>
      </c>
      <c r="B165" s="61" t="s">
        <v>1751</v>
      </c>
      <c r="C165" s="61" t="s">
        <v>1782</v>
      </c>
      <c r="D165" s="61" t="s">
        <v>1561</v>
      </c>
      <c r="E165" s="63" t="s">
        <v>1522</v>
      </c>
      <c r="F165" s="64">
        <v>50</v>
      </c>
      <c r="G165" s="65">
        <v>700</v>
      </c>
      <c r="H165" s="65">
        <v>35000</v>
      </c>
    </row>
    <row r="166" ht="18" customHeight="true" spans="1:8">
      <c r="A166" s="62" t="s">
        <v>77</v>
      </c>
      <c r="B166" s="61" t="s">
        <v>1751</v>
      </c>
      <c r="C166" s="61" t="s">
        <v>1777</v>
      </c>
      <c r="D166" s="61" t="s">
        <v>1540</v>
      </c>
      <c r="E166" s="63" t="s">
        <v>1565</v>
      </c>
      <c r="F166" s="64">
        <v>1</v>
      </c>
      <c r="G166" s="65">
        <v>2500</v>
      </c>
      <c r="H166" s="65">
        <v>2500</v>
      </c>
    </row>
    <row r="167" ht="18" customHeight="true" spans="1:8">
      <c r="A167" s="62" t="s">
        <v>77</v>
      </c>
      <c r="B167" s="61" t="s">
        <v>1751</v>
      </c>
      <c r="C167" s="61" t="s">
        <v>1777</v>
      </c>
      <c r="D167" s="61" t="s">
        <v>1540</v>
      </c>
      <c r="E167" s="63" t="s">
        <v>1565</v>
      </c>
      <c r="F167" s="64">
        <v>100</v>
      </c>
      <c r="G167" s="65">
        <v>1000</v>
      </c>
      <c r="H167" s="65">
        <v>100000</v>
      </c>
    </row>
    <row r="168" ht="18" customHeight="true" spans="1:8">
      <c r="A168" s="62" t="s">
        <v>77</v>
      </c>
      <c r="B168" s="61" t="s">
        <v>1751</v>
      </c>
      <c r="C168" s="61" t="s">
        <v>1778</v>
      </c>
      <c r="D168" s="61" t="s">
        <v>1552</v>
      </c>
      <c r="E168" s="63" t="s">
        <v>1530</v>
      </c>
      <c r="F168" s="64">
        <v>100</v>
      </c>
      <c r="G168" s="65">
        <v>500</v>
      </c>
      <c r="H168" s="65">
        <v>50000</v>
      </c>
    </row>
    <row r="169" ht="18" customHeight="true" spans="1:8">
      <c r="A169" s="62" t="s">
        <v>77</v>
      </c>
      <c r="B169" s="61" t="s">
        <v>1751</v>
      </c>
      <c r="C169" s="61" t="s">
        <v>1778</v>
      </c>
      <c r="D169" s="61" t="s">
        <v>1552</v>
      </c>
      <c r="E169" s="63" t="s">
        <v>1530</v>
      </c>
      <c r="F169" s="64">
        <v>1</v>
      </c>
      <c r="G169" s="65">
        <v>1000</v>
      </c>
      <c r="H169" s="65">
        <v>1000</v>
      </c>
    </row>
    <row r="170" ht="18" customHeight="true" spans="1:8">
      <c r="A170" s="62" t="s">
        <v>77</v>
      </c>
      <c r="B170" s="61" t="s">
        <v>1751</v>
      </c>
      <c r="C170" s="61" t="s">
        <v>1778</v>
      </c>
      <c r="D170" s="61" t="s">
        <v>1552</v>
      </c>
      <c r="E170" s="63" t="s">
        <v>1530</v>
      </c>
      <c r="F170" s="64">
        <v>8</v>
      </c>
      <c r="G170" s="65">
        <v>800</v>
      </c>
      <c r="H170" s="65">
        <v>6400</v>
      </c>
    </row>
    <row r="171" ht="18" customHeight="true" spans="1:8">
      <c r="A171" s="62" t="s">
        <v>77</v>
      </c>
      <c r="B171" s="61" t="s">
        <v>1751</v>
      </c>
      <c r="C171" s="61" t="s">
        <v>1777</v>
      </c>
      <c r="D171" s="61" t="s">
        <v>1540</v>
      </c>
      <c r="E171" s="63" t="s">
        <v>1565</v>
      </c>
      <c r="F171" s="64">
        <v>4</v>
      </c>
      <c r="G171" s="65">
        <v>2000</v>
      </c>
      <c r="H171" s="65">
        <v>8000</v>
      </c>
    </row>
    <row r="172" ht="18" customHeight="true" spans="1:8">
      <c r="A172" s="62" t="s">
        <v>77</v>
      </c>
      <c r="B172" s="61" t="s">
        <v>1751</v>
      </c>
      <c r="C172" s="61" t="s">
        <v>1752</v>
      </c>
      <c r="D172" s="61" t="s">
        <v>1514</v>
      </c>
      <c r="E172" s="63" t="s">
        <v>1522</v>
      </c>
      <c r="F172" s="64">
        <v>4</v>
      </c>
      <c r="G172" s="65">
        <v>1200</v>
      </c>
      <c r="H172" s="65">
        <v>4800</v>
      </c>
    </row>
    <row r="173" ht="18" customHeight="true" spans="1:8">
      <c r="A173" s="62" t="s">
        <v>77</v>
      </c>
      <c r="B173" s="61" t="s">
        <v>1751</v>
      </c>
      <c r="C173" s="61" t="s">
        <v>1778</v>
      </c>
      <c r="D173" s="61" t="s">
        <v>1552</v>
      </c>
      <c r="E173" s="63" t="s">
        <v>1530</v>
      </c>
      <c r="F173" s="64">
        <v>10</v>
      </c>
      <c r="G173" s="65">
        <v>800</v>
      </c>
      <c r="H173" s="65">
        <v>8000</v>
      </c>
    </row>
    <row r="174" ht="18" customHeight="true" spans="1:8">
      <c r="A174" s="62" t="s">
        <v>79</v>
      </c>
      <c r="B174" s="61" t="s">
        <v>1741</v>
      </c>
      <c r="C174" s="61" t="s">
        <v>1754</v>
      </c>
      <c r="D174" s="61" t="s">
        <v>1678</v>
      </c>
      <c r="E174" s="63" t="s">
        <v>1508</v>
      </c>
      <c r="F174" s="64">
        <v>1</v>
      </c>
      <c r="G174" s="65">
        <v>2500</v>
      </c>
      <c r="H174" s="65">
        <v>2500</v>
      </c>
    </row>
    <row r="175" ht="18" customHeight="true" spans="1:8">
      <c r="A175" s="62" t="s">
        <v>79</v>
      </c>
      <c r="B175" s="61" t="s">
        <v>1741</v>
      </c>
      <c r="C175" s="61" t="s">
        <v>1749</v>
      </c>
      <c r="D175" s="61" t="s">
        <v>1673</v>
      </c>
      <c r="E175" s="63" t="s">
        <v>1508</v>
      </c>
      <c r="F175" s="64">
        <v>6</v>
      </c>
      <c r="G175" s="65">
        <v>6000</v>
      </c>
      <c r="H175" s="65">
        <v>36000</v>
      </c>
    </row>
    <row r="176" ht="18" customHeight="true" spans="1:8">
      <c r="A176" s="62" t="s">
        <v>79</v>
      </c>
      <c r="B176" s="61" t="s">
        <v>1741</v>
      </c>
      <c r="C176" s="61" t="s">
        <v>1748</v>
      </c>
      <c r="D176" s="61" t="s">
        <v>1660</v>
      </c>
      <c r="E176" s="63" t="s">
        <v>1508</v>
      </c>
      <c r="F176" s="64">
        <v>4</v>
      </c>
      <c r="G176" s="65">
        <v>1500</v>
      </c>
      <c r="H176" s="65">
        <v>6000</v>
      </c>
    </row>
    <row r="177" ht="18" customHeight="true" spans="1:8">
      <c r="A177" s="62" t="s">
        <v>79</v>
      </c>
      <c r="B177" s="61" t="s">
        <v>1741</v>
      </c>
      <c r="C177" s="61" t="s">
        <v>1861</v>
      </c>
      <c r="D177" s="61" t="s">
        <v>1665</v>
      </c>
      <c r="E177" s="63" t="s">
        <v>1185</v>
      </c>
      <c r="F177" s="64">
        <v>1</v>
      </c>
      <c r="G177" s="65">
        <v>860000</v>
      </c>
      <c r="H177" s="65">
        <v>860000</v>
      </c>
    </row>
    <row r="178" ht="18" customHeight="true" spans="1:8">
      <c r="A178" s="62" t="s">
        <v>79</v>
      </c>
      <c r="B178" s="61" t="s">
        <v>1741</v>
      </c>
      <c r="C178" s="61" t="s">
        <v>1749</v>
      </c>
      <c r="D178" s="61" t="s">
        <v>1673</v>
      </c>
      <c r="E178" s="63" t="s">
        <v>1508</v>
      </c>
      <c r="F178" s="64">
        <v>20</v>
      </c>
      <c r="G178" s="65">
        <v>6000</v>
      </c>
      <c r="H178" s="65">
        <v>120000</v>
      </c>
    </row>
    <row r="179" ht="18" customHeight="true" spans="1:8">
      <c r="A179" s="62" t="s">
        <v>79</v>
      </c>
      <c r="B179" s="61" t="s">
        <v>1741</v>
      </c>
      <c r="C179" s="61" t="s">
        <v>1862</v>
      </c>
      <c r="D179" s="61" t="s">
        <v>1664</v>
      </c>
      <c r="E179" s="63" t="s">
        <v>1508</v>
      </c>
      <c r="F179" s="64">
        <v>1</v>
      </c>
      <c r="G179" s="65">
        <v>5000</v>
      </c>
      <c r="H179" s="65">
        <v>5000</v>
      </c>
    </row>
    <row r="180" ht="18" customHeight="true" spans="1:8">
      <c r="A180" s="62" t="s">
        <v>79</v>
      </c>
      <c r="B180" s="61" t="s">
        <v>1741</v>
      </c>
      <c r="C180" s="61" t="s">
        <v>1768</v>
      </c>
      <c r="D180" s="61" t="s">
        <v>1686</v>
      </c>
      <c r="E180" s="63" t="s">
        <v>1185</v>
      </c>
      <c r="F180" s="64">
        <v>1</v>
      </c>
      <c r="G180" s="65">
        <v>50000</v>
      </c>
      <c r="H180" s="65">
        <v>50000</v>
      </c>
    </row>
    <row r="181" ht="18" customHeight="true" spans="1:8">
      <c r="A181" s="62" t="s">
        <v>79</v>
      </c>
      <c r="B181" s="61" t="s">
        <v>1741</v>
      </c>
      <c r="C181" s="61" t="s">
        <v>1768</v>
      </c>
      <c r="D181" s="61" t="s">
        <v>1684</v>
      </c>
      <c r="E181" s="63" t="s">
        <v>1185</v>
      </c>
      <c r="F181" s="64">
        <v>1</v>
      </c>
      <c r="G181" s="65">
        <v>10000</v>
      </c>
      <c r="H181" s="65">
        <v>10000</v>
      </c>
    </row>
    <row r="182" ht="18" customHeight="true" spans="1:8">
      <c r="A182" s="62" t="s">
        <v>79</v>
      </c>
      <c r="B182" s="61" t="s">
        <v>1741</v>
      </c>
      <c r="C182" s="61" t="s">
        <v>1788</v>
      </c>
      <c r="D182" s="61" t="s">
        <v>1667</v>
      </c>
      <c r="E182" s="63" t="s">
        <v>1508</v>
      </c>
      <c r="F182" s="64">
        <v>1</v>
      </c>
      <c r="G182" s="65">
        <v>38000</v>
      </c>
      <c r="H182" s="65">
        <v>38000</v>
      </c>
    </row>
    <row r="183" ht="18" customHeight="true" spans="1:8">
      <c r="A183" s="62" t="s">
        <v>79</v>
      </c>
      <c r="B183" s="61" t="s">
        <v>1741</v>
      </c>
      <c r="C183" s="61" t="s">
        <v>1764</v>
      </c>
      <c r="D183" s="61" t="s">
        <v>1668</v>
      </c>
      <c r="E183" s="63" t="s">
        <v>1508</v>
      </c>
      <c r="F183" s="64">
        <v>1</v>
      </c>
      <c r="G183" s="65">
        <v>50000</v>
      </c>
      <c r="H183" s="65">
        <v>50000</v>
      </c>
    </row>
    <row r="184" ht="18" customHeight="true" spans="1:8">
      <c r="A184" s="62" t="s">
        <v>79</v>
      </c>
      <c r="B184" s="61" t="s">
        <v>1741</v>
      </c>
      <c r="C184" s="61" t="s">
        <v>1820</v>
      </c>
      <c r="D184" s="61" t="s">
        <v>1677</v>
      </c>
      <c r="E184" s="63" t="s">
        <v>1508</v>
      </c>
      <c r="F184" s="64">
        <v>1</v>
      </c>
      <c r="G184" s="65">
        <v>6000</v>
      </c>
      <c r="H184" s="65">
        <v>6000</v>
      </c>
    </row>
    <row r="185" ht="18" customHeight="true" spans="1:8">
      <c r="A185" s="62" t="s">
        <v>79</v>
      </c>
      <c r="B185" s="61" t="s">
        <v>1741</v>
      </c>
      <c r="C185" s="61" t="s">
        <v>1770</v>
      </c>
      <c r="D185" s="61" t="s">
        <v>1657</v>
      </c>
      <c r="E185" s="63" t="s">
        <v>1508</v>
      </c>
      <c r="F185" s="64">
        <v>1</v>
      </c>
      <c r="G185" s="65">
        <v>1700</v>
      </c>
      <c r="H185" s="65">
        <v>1700</v>
      </c>
    </row>
    <row r="186" ht="18" customHeight="true" spans="1:8">
      <c r="A186" s="62" t="s">
        <v>79</v>
      </c>
      <c r="B186" s="61" t="s">
        <v>1741</v>
      </c>
      <c r="C186" s="61" t="s">
        <v>1764</v>
      </c>
      <c r="D186" s="61" t="s">
        <v>1658</v>
      </c>
      <c r="E186" s="63" t="s">
        <v>1508</v>
      </c>
      <c r="F186" s="64">
        <v>1</v>
      </c>
      <c r="G186" s="65">
        <v>30000</v>
      </c>
      <c r="H186" s="65">
        <v>30000</v>
      </c>
    </row>
    <row r="187" ht="18" customHeight="true" spans="1:8">
      <c r="A187" s="62" t="s">
        <v>79</v>
      </c>
      <c r="B187" s="61" t="s">
        <v>1741</v>
      </c>
      <c r="C187" s="61" t="s">
        <v>1863</v>
      </c>
      <c r="D187" s="61" t="s">
        <v>1864</v>
      </c>
      <c r="E187" s="63" t="s">
        <v>1508</v>
      </c>
      <c r="F187" s="64">
        <v>3</v>
      </c>
      <c r="G187" s="65">
        <v>2500</v>
      </c>
      <c r="H187" s="65">
        <v>7500</v>
      </c>
    </row>
    <row r="188" ht="18" customHeight="true" spans="1:8">
      <c r="A188" s="62" t="s">
        <v>79</v>
      </c>
      <c r="B188" s="61" t="s">
        <v>1741</v>
      </c>
      <c r="C188" s="61" t="s">
        <v>1811</v>
      </c>
      <c r="D188" s="61" t="s">
        <v>1675</v>
      </c>
      <c r="E188" s="63" t="s">
        <v>1508</v>
      </c>
      <c r="F188" s="64">
        <v>10</v>
      </c>
      <c r="G188" s="65">
        <v>5000</v>
      </c>
      <c r="H188" s="65">
        <v>50000</v>
      </c>
    </row>
    <row r="189" ht="18" customHeight="true" spans="1:8">
      <c r="A189" s="62" t="s">
        <v>79</v>
      </c>
      <c r="B189" s="61" t="s">
        <v>1741</v>
      </c>
      <c r="C189" s="61" t="s">
        <v>1763</v>
      </c>
      <c r="D189" s="61" t="s">
        <v>1683</v>
      </c>
      <c r="E189" s="63" t="s">
        <v>1508</v>
      </c>
      <c r="F189" s="64">
        <v>1</v>
      </c>
      <c r="G189" s="65">
        <v>50000</v>
      </c>
      <c r="H189" s="65">
        <v>50000</v>
      </c>
    </row>
    <row r="190" ht="18" customHeight="true" spans="1:8">
      <c r="A190" s="62" t="s">
        <v>79</v>
      </c>
      <c r="B190" s="61" t="s">
        <v>1741</v>
      </c>
      <c r="C190" s="61" t="s">
        <v>1788</v>
      </c>
      <c r="D190" s="61" t="s">
        <v>1676</v>
      </c>
      <c r="E190" s="63" t="s">
        <v>1185</v>
      </c>
      <c r="F190" s="64">
        <v>1</v>
      </c>
      <c r="G190" s="65">
        <v>42000</v>
      </c>
      <c r="H190" s="65">
        <v>42000</v>
      </c>
    </row>
    <row r="191" ht="18" customHeight="true" spans="1:8">
      <c r="A191" s="62" t="s">
        <v>79</v>
      </c>
      <c r="B191" s="61" t="s">
        <v>1741</v>
      </c>
      <c r="C191" s="61" t="s">
        <v>1788</v>
      </c>
      <c r="D191" s="61" t="s">
        <v>1672</v>
      </c>
      <c r="E191" s="63" t="s">
        <v>1508</v>
      </c>
      <c r="F191" s="64">
        <v>1</v>
      </c>
      <c r="G191" s="65">
        <v>3000</v>
      </c>
      <c r="H191" s="65">
        <v>3000</v>
      </c>
    </row>
    <row r="192" ht="18" customHeight="true" spans="1:8">
      <c r="A192" s="62" t="s">
        <v>79</v>
      </c>
      <c r="B192" s="61" t="s">
        <v>1741</v>
      </c>
      <c r="C192" s="61" t="s">
        <v>1788</v>
      </c>
      <c r="D192" s="61" t="s">
        <v>1670</v>
      </c>
      <c r="E192" s="63" t="s">
        <v>1508</v>
      </c>
      <c r="F192" s="64">
        <v>1</v>
      </c>
      <c r="G192" s="65">
        <v>30000</v>
      </c>
      <c r="H192" s="65">
        <v>30000</v>
      </c>
    </row>
    <row r="193" ht="18" customHeight="true" spans="1:8">
      <c r="A193" s="62" t="s">
        <v>79</v>
      </c>
      <c r="B193" s="61" t="s">
        <v>1741</v>
      </c>
      <c r="C193" s="61" t="s">
        <v>1788</v>
      </c>
      <c r="D193" s="61" t="s">
        <v>1656</v>
      </c>
      <c r="E193" s="63" t="s">
        <v>1508</v>
      </c>
      <c r="F193" s="64">
        <v>1</v>
      </c>
      <c r="G193" s="65">
        <v>15000</v>
      </c>
      <c r="H193" s="65">
        <v>15000</v>
      </c>
    </row>
    <row r="194" ht="18" customHeight="true" spans="1:8">
      <c r="A194" s="62" t="s">
        <v>79</v>
      </c>
      <c r="B194" s="61" t="s">
        <v>1741</v>
      </c>
      <c r="C194" s="61" t="s">
        <v>1764</v>
      </c>
      <c r="D194" s="61" t="s">
        <v>1662</v>
      </c>
      <c r="E194" s="63" t="s">
        <v>1508</v>
      </c>
      <c r="F194" s="64">
        <v>1</v>
      </c>
      <c r="G194" s="65">
        <v>20000</v>
      </c>
      <c r="H194" s="65">
        <v>20000</v>
      </c>
    </row>
    <row r="195" ht="18" customHeight="true" spans="1:8">
      <c r="A195" s="62" t="s">
        <v>79</v>
      </c>
      <c r="B195" s="61" t="s">
        <v>1741</v>
      </c>
      <c r="C195" s="61" t="s">
        <v>1788</v>
      </c>
      <c r="D195" s="61" t="s">
        <v>1680</v>
      </c>
      <c r="E195" s="63" t="s">
        <v>1508</v>
      </c>
      <c r="F195" s="64">
        <v>4</v>
      </c>
      <c r="G195" s="65">
        <v>25000</v>
      </c>
      <c r="H195" s="65">
        <v>100000</v>
      </c>
    </row>
    <row r="196" ht="18" customHeight="true" spans="1:8">
      <c r="A196" s="62" t="s">
        <v>79</v>
      </c>
      <c r="B196" s="61" t="s">
        <v>1741</v>
      </c>
      <c r="C196" s="61" t="s">
        <v>1788</v>
      </c>
      <c r="D196" s="61" t="s">
        <v>1659</v>
      </c>
      <c r="E196" s="63" t="s">
        <v>1508</v>
      </c>
      <c r="F196" s="64">
        <v>3</v>
      </c>
      <c r="G196" s="65">
        <v>30000</v>
      </c>
      <c r="H196" s="65">
        <v>90000</v>
      </c>
    </row>
    <row r="197" ht="18" customHeight="true" spans="1:8">
      <c r="A197" s="62" t="s">
        <v>79</v>
      </c>
      <c r="B197" s="61" t="s">
        <v>1741</v>
      </c>
      <c r="C197" s="61" t="s">
        <v>1748</v>
      </c>
      <c r="D197" s="61" t="s">
        <v>1660</v>
      </c>
      <c r="E197" s="63" t="s">
        <v>1508</v>
      </c>
      <c r="F197" s="64">
        <v>22</v>
      </c>
      <c r="G197" s="65">
        <v>1500</v>
      </c>
      <c r="H197" s="65">
        <v>33000</v>
      </c>
    </row>
    <row r="198" ht="18" customHeight="true" spans="1:8">
      <c r="A198" s="62" t="s">
        <v>79</v>
      </c>
      <c r="B198" s="61" t="s">
        <v>1741</v>
      </c>
      <c r="C198" s="61" t="s">
        <v>1743</v>
      </c>
      <c r="D198" s="61" t="s">
        <v>1507</v>
      </c>
      <c r="E198" s="63" t="s">
        <v>1508</v>
      </c>
      <c r="F198" s="64">
        <v>1</v>
      </c>
      <c r="G198" s="65">
        <v>20000</v>
      </c>
      <c r="H198" s="65">
        <v>20000</v>
      </c>
    </row>
    <row r="199" ht="18" customHeight="true" spans="1:8">
      <c r="A199" s="62" t="s">
        <v>79</v>
      </c>
      <c r="B199" s="61" t="s">
        <v>1741</v>
      </c>
      <c r="C199" s="61" t="s">
        <v>1742</v>
      </c>
      <c r="D199" s="61" t="s">
        <v>1588</v>
      </c>
      <c r="E199" s="63" t="s">
        <v>1508</v>
      </c>
      <c r="F199" s="64">
        <v>5</v>
      </c>
      <c r="G199" s="65">
        <v>1000</v>
      </c>
      <c r="H199" s="65">
        <v>5000</v>
      </c>
    </row>
    <row r="200" ht="18" customHeight="true" spans="1:8">
      <c r="A200" s="62" t="s">
        <v>79</v>
      </c>
      <c r="B200" s="61" t="s">
        <v>1741</v>
      </c>
      <c r="C200" s="61" t="s">
        <v>1749</v>
      </c>
      <c r="D200" s="61" t="s">
        <v>1685</v>
      </c>
      <c r="E200" s="63" t="s">
        <v>1508</v>
      </c>
      <c r="F200" s="64">
        <v>2</v>
      </c>
      <c r="G200" s="65">
        <v>5000</v>
      </c>
      <c r="H200" s="65">
        <v>10000</v>
      </c>
    </row>
    <row r="201" ht="18" customHeight="true" spans="1:8">
      <c r="A201" s="62" t="s">
        <v>79</v>
      </c>
      <c r="B201" s="61" t="s">
        <v>1741</v>
      </c>
      <c r="C201" s="61" t="s">
        <v>1815</v>
      </c>
      <c r="D201" s="61" t="s">
        <v>1671</v>
      </c>
      <c r="E201" s="63" t="s">
        <v>1508</v>
      </c>
      <c r="F201" s="64">
        <v>6</v>
      </c>
      <c r="G201" s="65">
        <v>5000</v>
      </c>
      <c r="H201" s="65">
        <v>30000</v>
      </c>
    </row>
    <row r="202" ht="18" customHeight="true" spans="1:8">
      <c r="A202" s="62" t="s">
        <v>79</v>
      </c>
      <c r="B202" s="61" t="s">
        <v>1741</v>
      </c>
      <c r="C202" s="61" t="s">
        <v>1754</v>
      </c>
      <c r="D202" s="61" t="s">
        <v>1678</v>
      </c>
      <c r="E202" s="63" t="s">
        <v>1508</v>
      </c>
      <c r="F202" s="64">
        <v>6</v>
      </c>
      <c r="G202" s="65">
        <v>2500</v>
      </c>
      <c r="H202" s="65">
        <v>15000</v>
      </c>
    </row>
    <row r="203" ht="18" customHeight="true" spans="1:8">
      <c r="A203" s="62" t="s">
        <v>79</v>
      </c>
      <c r="B203" s="61" t="s">
        <v>1741</v>
      </c>
      <c r="C203" s="61" t="s">
        <v>1753</v>
      </c>
      <c r="D203" s="61" t="s">
        <v>1519</v>
      </c>
      <c r="E203" s="63" t="s">
        <v>1508</v>
      </c>
      <c r="F203" s="64">
        <v>4</v>
      </c>
      <c r="G203" s="65">
        <v>4000</v>
      </c>
      <c r="H203" s="65">
        <v>16000</v>
      </c>
    </row>
    <row r="204" ht="18" customHeight="true" spans="1:8">
      <c r="A204" s="62" t="s">
        <v>79</v>
      </c>
      <c r="B204" s="61" t="s">
        <v>1741</v>
      </c>
      <c r="C204" s="61" t="s">
        <v>1764</v>
      </c>
      <c r="D204" s="61" t="s">
        <v>1681</v>
      </c>
      <c r="E204" s="63" t="s">
        <v>1508</v>
      </c>
      <c r="F204" s="64">
        <v>1</v>
      </c>
      <c r="G204" s="65">
        <v>50000</v>
      </c>
      <c r="H204" s="65">
        <v>50000</v>
      </c>
    </row>
    <row r="205" ht="18" customHeight="true" spans="1:8">
      <c r="A205" s="62" t="s">
        <v>79</v>
      </c>
      <c r="B205" s="61" t="s">
        <v>1741</v>
      </c>
      <c r="C205" s="61" t="s">
        <v>1763</v>
      </c>
      <c r="D205" s="61" t="s">
        <v>1682</v>
      </c>
      <c r="E205" s="63" t="s">
        <v>1508</v>
      </c>
      <c r="F205" s="64">
        <v>1</v>
      </c>
      <c r="G205" s="65">
        <v>120000</v>
      </c>
      <c r="H205" s="65">
        <v>120000</v>
      </c>
    </row>
    <row r="206" ht="18" customHeight="true" spans="1:8">
      <c r="A206" s="62" t="s">
        <v>79</v>
      </c>
      <c r="B206" s="61" t="s">
        <v>1741</v>
      </c>
      <c r="C206" s="61" t="s">
        <v>1770</v>
      </c>
      <c r="D206" s="61" t="s">
        <v>1669</v>
      </c>
      <c r="E206" s="63" t="s">
        <v>1508</v>
      </c>
      <c r="F206" s="64">
        <v>2</v>
      </c>
      <c r="G206" s="65">
        <v>2000</v>
      </c>
      <c r="H206" s="65">
        <v>4000</v>
      </c>
    </row>
    <row r="207" ht="18" customHeight="true" spans="1:8">
      <c r="A207" s="62" t="s">
        <v>79</v>
      </c>
      <c r="B207" s="61" t="s">
        <v>1751</v>
      </c>
      <c r="C207" s="61" t="s">
        <v>1756</v>
      </c>
      <c r="D207" s="61" t="s">
        <v>1586</v>
      </c>
      <c r="E207" s="63" t="s">
        <v>998</v>
      </c>
      <c r="F207" s="64">
        <v>1</v>
      </c>
      <c r="G207" s="65">
        <v>2000</v>
      </c>
      <c r="H207" s="65">
        <v>2000</v>
      </c>
    </row>
    <row r="208" ht="18" customHeight="true" spans="1:8">
      <c r="A208" s="62" t="s">
        <v>79</v>
      </c>
      <c r="B208" s="61" t="s">
        <v>1751</v>
      </c>
      <c r="C208" s="61" t="s">
        <v>1778</v>
      </c>
      <c r="D208" s="61" t="s">
        <v>1552</v>
      </c>
      <c r="E208" s="63" t="s">
        <v>1522</v>
      </c>
      <c r="F208" s="64">
        <v>8</v>
      </c>
      <c r="G208" s="65">
        <v>750</v>
      </c>
      <c r="H208" s="65">
        <v>6000</v>
      </c>
    </row>
    <row r="209" ht="18" customHeight="true" spans="1:8">
      <c r="A209" s="62" t="s">
        <v>79</v>
      </c>
      <c r="B209" s="61" t="s">
        <v>1751</v>
      </c>
      <c r="C209" s="61" t="s">
        <v>1777</v>
      </c>
      <c r="D209" s="61" t="s">
        <v>1540</v>
      </c>
      <c r="E209" s="63" t="s">
        <v>1565</v>
      </c>
      <c r="F209" s="64">
        <v>6</v>
      </c>
      <c r="G209" s="65">
        <v>2000</v>
      </c>
      <c r="H209" s="65">
        <v>12000</v>
      </c>
    </row>
    <row r="210" ht="18" customHeight="true" spans="1:8">
      <c r="A210" s="62" t="s">
        <v>79</v>
      </c>
      <c r="B210" s="61" t="s">
        <v>1751</v>
      </c>
      <c r="C210" s="61" t="s">
        <v>1782</v>
      </c>
      <c r="D210" s="61" t="s">
        <v>1561</v>
      </c>
      <c r="E210" s="63" t="s">
        <v>1522</v>
      </c>
      <c r="F210" s="64">
        <v>5</v>
      </c>
      <c r="G210" s="65">
        <v>800</v>
      </c>
      <c r="H210" s="65">
        <v>4000</v>
      </c>
    </row>
    <row r="211" ht="18" customHeight="true" spans="1:8">
      <c r="A211" s="62" t="s">
        <v>79</v>
      </c>
      <c r="B211" s="61" t="s">
        <v>1751</v>
      </c>
      <c r="C211" s="61" t="s">
        <v>1779</v>
      </c>
      <c r="D211" s="61" t="s">
        <v>1679</v>
      </c>
      <c r="E211" s="63" t="s">
        <v>1522</v>
      </c>
      <c r="F211" s="64">
        <v>5</v>
      </c>
      <c r="G211" s="65">
        <v>800</v>
      </c>
      <c r="H211" s="65">
        <v>4000</v>
      </c>
    </row>
    <row r="212" ht="18" customHeight="true" spans="1:8">
      <c r="A212" s="62" t="s">
        <v>79</v>
      </c>
      <c r="B212" s="61" t="s">
        <v>1785</v>
      </c>
      <c r="C212" s="61" t="s">
        <v>1845</v>
      </c>
      <c r="D212" s="61" t="s">
        <v>1674</v>
      </c>
      <c r="E212" s="63" t="s">
        <v>1185</v>
      </c>
      <c r="F212" s="64">
        <v>1</v>
      </c>
      <c r="G212" s="65">
        <v>1000000</v>
      </c>
      <c r="H212" s="65">
        <v>1000000</v>
      </c>
    </row>
    <row r="213" ht="18" customHeight="true" spans="1:8">
      <c r="A213" s="62" t="s">
        <v>81</v>
      </c>
      <c r="B213" s="61" t="s">
        <v>1741</v>
      </c>
      <c r="C213" s="61" t="s">
        <v>1865</v>
      </c>
      <c r="D213" s="61" t="s">
        <v>1866</v>
      </c>
      <c r="E213" s="63" t="s">
        <v>1508</v>
      </c>
      <c r="F213" s="64">
        <v>1</v>
      </c>
      <c r="G213" s="65">
        <v>1400</v>
      </c>
      <c r="H213" s="65">
        <v>1400</v>
      </c>
    </row>
    <row r="214" ht="18" customHeight="true" spans="1:8">
      <c r="A214" s="62" t="s">
        <v>81</v>
      </c>
      <c r="B214" s="61" t="s">
        <v>1741</v>
      </c>
      <c r="C214" s="61" t="s">
        <v>1754</v>
      </c>
      <c r="D214" s="61" t="s">
        <v>1574</v>
      </c>
      <c r="E214" s="63" t="s">
        <v>1508</v>
      </c>
      <c r="F214" s="64">
        <v>1</v>
      </c>
      <c r="G214" s="65">
        <v>3000</v>
      </c>
      <c r="H214" s="65">
        <v>3000</v>
      </c>
    </row>
    <row r="215" ht="18" customHeight="true" spans="1:8">
      <c r="A215" s="62" t="s">
        <v>81</v>
      </c>
      <c r="B215" s="61" t="s">
        <v>1741</v>
      </c>
      <c r="C215" s="61" t="s">
        <v>1748</v>
      </c>
      <c r="D215" s="61" t="s">
        <v>1867</v>
      </c>
      <c r="E215" s="63" t="s">
        <v>1508</v>
      </c>
      <c r="F215" s="64">
        <v>1</v>
      </c>
      <c r="G215" s="65">
        <v>1500</v>
      </c>
      <c r="H215" s="65">
        <v>1500</v>
      </c>
    </row>
    <row r="216" ht="18" customHeight="true" spans="1:8">
      <c r="A216" s="62" t="s">
        <v>83</v>
      </c>
      <c r="B216" s="61" t="s">
        <v>1741</v>
      </c>
      <c r="C216" s="61" t="s">
        <v>1811</v>
      </c>
      <c r="D216" s="61" t="s">
        <v>1868</v>
      </c>
      <c r="E216" s="63" t="s">
        <v>1508</v>
      </c>
      <c r="F216" s="64">
        <v>1</v>
      </c>
      <c r="G216" s="65">
        <v>60000</v>
      </c>
      <c r="H216" s="65">
        <v>60000</v>
      </c>
    </row>
    <row r="217" ht="18" customHeight="true" spans="1:8">
      <c r="A217" s="62" t="s">
        <v>83</v>
      </c>
      <c r="B217" s="61" t="s">
        <v>1741</v>
      </c>
      <c r="C217" s="61" t="s">
        <v>1869</v>
      </c>
      <c r="D217" s="61" t="s">
        <v>1870</v>
      </c>
      <c r="E217" s="63" t="s">
        <v>1871</v>
      </c>
      <c r="F217" s="64">
        <v>1</v>
      </c>
      <c r="G217" s="65">
        <v>160000</v>
      </c>
      <c r="H217" s="65">
        <v>160000</v>
      </c>
    </row>
    <row r="218" ht="18" customHeight="true" spans="1:8">
      <c r="A218" s="62" t="s">
        <v>83</v>
      </c>
      <c r="B218" s="61" t="s">
        <v>1741</v>
      </c>
      <c r="C218" s="61" t="s">
        <v>1861</v>
      </c>
      <c r="D218" s="61" t="s">
        <v>1872</v>
      </c>
      <c r="E218" s="63" t="s">
        <v>1185</v>
      </c>
      <c r="F218" s="64">
        <v>1</v>
      </c>
      <c r="G218" s="65">
        <v>450000</v>
      </c>
      <c r="H218" s="65">
        <v>450000</v>
      </c>
    </row>
    <row r="219" ht="18" customHeight="true" spans="1:8">
      <c r="A219" s="62" t="s">
        <v>83</v>
      </c>
      <c r="B219" s="61" t="s">
        <v>1741</v>
      </c>
      <c r="C219" s="61" t="s">
        <v>1749</v>
      </c>
      <c r="D219" s="61" t="s">
        <v>1554</v>
      </c>
      <c r="E219" s="63" t="s">
        <v>1508</v>
      </c>
      <c r="F219" s="64">
        <v>26</v>
      </c>
      <c r="G219" s="65">
        <v>4500</v>
      </c>
      <c r="H219" s="65">
        <v>117000</v>
      </c>
    </row>
    <row r="220" ht="18" customHeight="true" spans="1:8">
      <c r="A220" s="62" t="s">
        <v>83</v>
      </c>
      <c r="B220" s="61" t="s">
        <v>1741</v>
      </c>
      <c r="C220" s="61" t="s">
        <v>1812</v>
      </c>
      <c r="D220" s="61" t="s">
        <v>1873</v>
      </c>
      <c r="E220" s="63" t="s">
        <v>1508</v>
      </c>
      <c r="F220" s="64">
        <v>3</v>
      </c>
      <c r="G220" s="65">
        <v>2200</v>
      </c>
      <c r="H220" s="65">
        <v>6600</v>
      </c>
    </row>
    <row r="221" ht="18" customHeight="true" spans="1:8">
      <c r="A221" s="62" t="s">
        <v>83</v>
      </c>
      <c r="B221" s="61" t="s">
        <v>1741</v>
      </c>
      <c r="C221" s="61" t="s">
        <v>1748</v>
      </c>
      <c r="D221" s="61" t="s">
        <v>1516</v>
      </c>
      <c r="E221" s="63" t="s">
        <v>1508</v>
      </c>
      <c r="F221" s="64">
        <v>17</v>
      </c>
      <c r="G221" s="65">
        <v>1500</v>
      </c>
      <c r="H221" s="65">
        <v>25500</v>
      </c>
    </row>
    <row r="222" ht="18" customHeight="true" spans="1:8">
      <c r="A222" s="62" t="s">
        <v>83</v>
      </c>
      <c r="B222" s="61" t="s">
        <v>1741</v>
      </c>
      <c r="C222" s="61" t="s">
        <v>1812</v>
      </c>
      <c r="D222" s="61" t="s">
        <v>1874</v>
      </c>
      <c r="E222" s="63" t="s">
        <v>1508</v>
      </c>
      <c r="F222" s="64">
        <v>5</v>
      </c>
      <c r="G222" s="65">
        <v>4000</v>
      </c>
      <c r="H222" s="65">
        <v>20000</v>
      </c>
    </row>
    <row r="223" ht="18" customHeight="true" spans="1:8">
      <c r="A223" s="62" t="s">
        <v>85</v>
      </c>
      <c r="B223" s="61" t="s">
        <v>1741</v>
      </c>
      <c r="C223" s="61" t="s">
        <v>1768</v>
      </c>
      <c r="D223" s="61" t="s">
        <v>1875</v>
      </c>
      <c r="E223" s="63" t="s">
        <v>1185</v>
      </c>
      <c r="F223" s="64">
        <v>1</v>
      </c>
      <c r="G223" s="65">
        <v>1500000</v>
      </c>
      <c r="H223" s="65">
        <v>1500000</v>
      </c>
    </row>
    <row r="224" ht="18" customHeight="true" spans="1:8">
      <c r="A224" s="62" t="s">
        <v>85</v>
      </c>
      <c r="B224" s="61" t="s">
        <v>1741</v>
      </c>
      <c r="C224" s="61" t="s">
        <v>1761</v>
      </c>
      <c r="D224" s="61" t="s">
        <v>1876</v>
      </c>
      <c r="E224" s="63" t="s">
        <v>1185</v>
      </c>
      <c r="F224" s="64">
        <v>20</v>
      </c>
      <c r="G224" s="65">
        <v>1100</v>
      </c>
      <c r="H224" s="65">
        <v>22000</v>
      </c>
    </row>
    <row r="225" ht="18" customHeight="true" spans="1:8">
      <c r="A225" s="62" t="s">
        <v>85</v>
      </c>
      <c r="B225" s="61" t="s">
        <v>1741</v>
      </c>
      <c r="C225" s="61" t="s">
        <v>1877</v>
      </c>
      <c r="D225" s="61" t="s">
        <v>1878</v>
      </c>
      <c r="E225" s="63" t="s">
        <v>1508</v>
      </c>
      <c r="F225" s="64">
        <v>1</v>
      </c>
      <c r="G225" s="65">
        <v>180000</v>
      </c>
      <c r="H225" s="65">
        <v>180000</v>
      </c>
    </row>
    <row r="226" ht="18" customHeight="true" spans="1:8">
      <c r="A226" s="62" t="s">
        <v>85</v>
      </c>
      <c r="B226" s="61" t="s">
        <v>1741</v>
      </c>
      <c r="C226" s="61" t="s">
        <v>1788</v>
      </c>
      <c r="D226" s="61" t="s">
        <v>1879</v>
      </c>
      <c r="E226" s="63" t="s">
        <v>1508</v>
      </c>
      <c r="F226" s="64">
        <v>2</v>
      </c>
      <c r="G226" s="65">
        <v>30000</v>
      </c>
      <c r="H226" s="65">
        <v>60000</v>
      </c>
    </row>
    <row r="227" ht="18" customHeight="true" spans="1:8">
      <c r="A227" s="62" t="s">
        <v>85</v>
      </c>
      <c r="B227" s="61" t="s">
        <v>1741</v>
      </c>
      <c r="C227" s="61" t="s">
        <v>1788</v>
      </c>
      <c r="D227" s="61" t="s">
        <v>1880</v>
      </c>
      <c r="E227" s="63" t="s">
        <v>1508</v>
      </c>
      <c r="F227" s="64">
        <v>1</v>
      </c>
      <c r="G227" s="65">
        <v>160000</v>
      </c>
      <c r="H227" s="65">
        <v>160000</v>
      </c>
    </row>
    <row r="228" ht="18" customHeight="true" spans="1:8">
      <c r="A228" s="62" t="s">
        <v>85</v>
      </c>
      <c r="B228" s="61" t="s">
        <v>1741</v>
      </c>
      <c r="C228" s="61" t="s">
        <v>1788</v>
      </c>
      <c r="D228" s="61" t="s">
        <v>1881</v>
      </c>
      <c r="E228" s="63" t="s">
        <v>1508</v>
      </c>
      <c r="F228" s="64">
        <v>3</v>
      </c>
      <c r="G228" s="65">
        <v>367000</v>
      </c>
      <c r="H228" s="65">
        <v>1101000</v>
      </c>
    </row>
    <row r="229" ht="18" customHeight="true" spans="1:8">
      <c r="A229" s="62" t="s">
        <v>85</v>
      </c>
      <c r="B229" s="61" t="s">
        <v>1741</v>
      </c>
      <c r="C229" s="61" t="s">
        <v>1766</v>
      </c>
      <c r="D229" s="61" t="s">
        <v>1882</v>
      </c>
      <c r="E229" s="63" t="s">
        <v>1508</v>
      </c>
      <c r="F229" s="64">
        <v>1</v>
      </c>
      <c r="G229" s="65">
        <v>45000</v>
      </c>
      <c r="H229" s="65">
        <v>45000</v>
      </c>
    </row>
    <row r="230" ht="18" customHeight="true" spans="1:8">
      <c r="A230" s="62" t="s">
        <v>85</v>
      </c>
      <c r="B230" s="61" t="s">
        <v>1741</v>
      </c>
      <c r="C230" s="61" t="s">
        <v>1745</v>
      </c>
      <c r="D230" s="61" t="s">
        <v>1867</v>
      </c>
      <c r="E230" s="63" t="s">
        <v>1508</v>
      </c>
      <c r="F230" s="64">
        <v>1</v>
      </c>
      <c r="G230" s="65">
        <v>2600</v>
      </c>
      <c r="H230" s="65">
        <v>2600</v>
      </c>
    </row>
    <row r="231" ht="18" customHeight="true" spans="1:8">
      <c r="A231" s="62" t="s">
        <v>85</v>
      </c>
      <c r="B231" s="61" t="s">
        <v>1741</v>
      </c>
      <c r="C231" s="61" t="s">
        <v>1812</v>
      </c>
      <c r="D231" s="61" t="s">
        <v>1883</v>
      </c>
      <c r="E231" s="63" t="s">
        <v>1508</v>
      </c>
      <c r="F231" s="64">
        <v>9</v>
      </c>
      <c r="G231" s="65">
        <v>2600</v>
      </c>
      <c r="H231" s="65">
        <v>23400</v>
      </c>
    </row>
    <row r="232" ht="18" customHeight="true" spans="1:8">
      <c r="A232" s="62" t="s">
        <v>85</v>
      </c>
      <c r="B232" s="61" t="s">
        <v>1741</v>
      </c>
      <c r="C232" s="61" t="s">
        <v>1877</v>
      </c>
      <c r="D232" s="61" t="s">
        <v>1884</v>
      </c>
      <c r="E232" s="63" t="s">
        <v>1508</v>
      </c>
      <c r="F232" s="64">
        <v>20</v>
      </c>
      <c r="G232" s="65">
        <v>3000</v>
      </c>
      <c r="H232" s="65">
        <v>60000</v>
      </c>
    </row>
    <row r="233" ht="18" customHeight="true" spans="1:8">
      <c r="A233" s="62" t="s">
        <v>85</v>
      </c>
      <c r="B233" s="61" t="s">
        <v>1741</v>
      </c>
      <c r="C233" s="61" t="s">
        <v>1743</v>
      </c>
      <c r="D233" s="61" t="s">
        <v>1885</v>
      </c>
      <c r="E233" s="63" t="s">
        <v>1508</v>
      </c>
      <c r="F233" s="64">
        <v>1</v>
      </c>
      <c r="G233" s="65">
        <v>40000</v>
      </c>
      <c r="H233" s="65">
        <v>40000</v>
      </c>
    </row>
    <row r="234" ht="18" customHeight="true" spans="1:8">
      <c r="A234" s="62" t="s">
        <v>85</v>
      </c>
      <c r="B234" s="61" t="s">
        <v>1741</v>
      </c>
      <c r="C234" s="61" t="s">
        <v>1788</v>
      </c>
      <c r="D234" s="61" t="s">
        <v>1886</v>
      </c>
      <c r="E234" s="63" t="s">
        <v>1508</v>
      </c>
      <c r="F234" s="64">
        <v>2</v>
      </c>
      <c r="G234" s="65">
        <v>6000</v>
      </c>
      <c r="H234" s="65">
        <v>12000</v>
      </c>
    </row>
    <row r="235" ht="18" customHeight="true" spans="1:8">
      <c r="A235" s="62" t="s">
        <v>85</v>
      </c>
      <c r="B235" s="61" t="s">
        <v>1741</v>
      </c>
      <c r="C235" s="61" t="s">
        <v>1757</v>
      </c>
      <c r="D235" s="61" t="s">
        <v>1887</v>
      </c>
      <c r="E235" s="63" t="s">
        <v>1508</v>
      </c>
      <c r="F235" s="64">
        <v>2</v>
      </c>
      <c r="G235" s="65">
        <v>40000</v>
      </c>
      <c r="H235" s="65">
        <v>80000</v>
      </c>
    </row>
    <row r="236" ht="18" customHeight="true" spans="1:8">
      <c r="A236" s="62" t="s">
        <v>85</v>
      </c>
      <c r="B236" s="61" t="s">
        <v>1741</v>
      </c>
      <c r="C236" s="61" t="s">
        <v>1877</v>
      </c>
      <c r="D236" s="61" t="s">
        <v>1888</v>
      </c>
      <c r="E236" s="63" t="s">
        <v>1508</v>
      </c>
      <c r="F236" s="64">
        <v>1</v>
      </c>
      <c r="G236" s="65">
        <v>100000</v>
      </c>
      <c r="H236" s="65">
        <v>100000</v>
      </c>
    </row>
    <row r="237" ht="18" customHeight="true" spans="1:8">
      <c r="A237" s="62" t="s">
        <v>85</v>
      </c>
      <c r="B237" s="61" t="s">
        <v>1741</v>
      </c>
      <c r="C237" s="61" t="s">
        <v>1788</v>
      </c>
      <c r="D237" s="61" t="s">
        <v>1889</v>
      </c>
      <c r="E237" s="63" t="s">
        <v>1508</v>
      </c>
      <c r="F237" s="64">
        <v>2</v>
      </c>
      <c r="G237" s="65">
        <v>3500</v>
      </c>
      <c r="H237" s="65">
        <v>7000</v>
      </c>
    </row>
    <row r="238" ht="18" customHeight="true" spans="1:8">
      <c r="A238" s="62" t="s">
        <v>85</v>
      </c>
      <c r="B238" s="61" t="s">
        <v>1741</v>
      </c>
      <c r="C238" s="61" t="s">
        <v>1788</v>
      </c>
      <c r="D238" s="61" t="s">
        <v>1890</v>
      </c>
      <c r="E238" s="63" t="s">
        <v>1508</v>
      </c>
      <c r="F238" s="64">
        <v>2</v>
      </c>
      <c r="G238" s="65">
        <v>28000</v>
      </c>
      <c r="H238" s="65">
        <v>56000</v>
      </c>
    </row>
    <row r="239" ht="18" customHeight="true" spans="1:8">
      <c r="A239" s="62" t="s">
        <v>85</v>
      </c>
      <c r="B239" s="61" t="s">
        <v>1741</v>
      </c>
      <c r="C239" s="61" t="s">
        <v>1788</v>
      </c>
      <c r="D239" s="61" t="s">
        <v>1891</v>
      </c>
      <c r="E239" s="63" t="s">
        <v>1185</v>
      </c>
      <c r="F239" s="64">
        <v>1</v>
      </c>
      <c r="G239" s="65">
        <v>45000</v>
      </c>
      <c r="H239" s="65">
        <v>45000</v>
      </c>
    </row>
    <row r="240" ht="18" customHeight="true" spans="1:8">
      <c r="A240" s="62" t="s">
        <v>85</v>
      </c>
      <c r="B240" s="61" t="s">
        <v>1741</v>
      </c>
      <c r="C240" s="61" t="s">
        <v>1788</v>
      </c>
      <c r="D240" s="61" t="s">
        <v>1892</v>
      </c>
      <c r="E240" s="63" t="s">
        <v>1508</v>
      </c>
      <c r="F240" s="64">
        <v>2</v>
      </c>
      <c r="G240" s="65">
        <v>30000</v>
      </c>
      <c r="H240" s="65">
        <v>60000</v>
      </c>
    </row>
    <row r="241" ht="18" customHeight="true" spans="1:8">
      <c r="A241" s="62" t="s">
        <v>85</v>
      </c>
      <c r="B241" s="61" t="s">
        <v>1741</v>
      </c>
      <c r="C241" s="61" t="s">
        <v>1767</v>
      </c>
      <c r="D241" s="61" t="s">
        <v>1893</v>
      </c>
      <c r="E241" s="63" t="s">
        <v>1508</v>
      </c>
      <c r="F241" s="64">
        <v>1</v>
      </c>
      <c r="G241" s="65">
        <v>200000</v>
      </c>
      <c r="H241" s="65">
        <v>200000</v>
      </c>
    </row>
    <row r="242" ht="18" customHeight="true" spans="1:8">
      <c r="A242" s="62" t="s">
        <v>85</v>
      </c>
      <c r="B242" s="61" t="s">
        <v>1741</v>
      </c>
      <c r="C242" s="61" t="s">
        <v>1766</v>
      </c>
      <c r="D242" s="61" t="s">
        <v>1894</v>
      </c>
      <c r="E242" s="63" t="s">
        <v>1508</v>
      </c>
      <c r="F242" s="64">
        <v>1</v>
      </c>
      <c r="G242" s="65">
        <v>4800</v>
      </c>
      <c r="H242" s="65">
        <v>4800</v>
      </c>
    </row>
    <row r="243" ht="18" customHeight="true" spans="1:8">
      <c r="A243" s="62" t="s">
        <v>85</v>
      </c>
      <c r="B243" s="61" t="s">
        <v>1741</v>
      </c>
      <c r="C243" s="61" t="s">
        <v>1757</v>
      </c>
      <c r="D243" s="61" t="s">
        <v>1895</v>
      </c>
      <c r="E243" s="63" t="s">
        <v>1508</v>
      </c>
      <c r="F243" s="64">
        <v>2</v>
      </c>
      <c r="G243" s="65">
        <v>40000</v>
      </c>
      <c r="H243" s="65">
        <v>80000</v>
      </c>
    </row>
    <row r="244" ht="18" customHeight="true" spans="1:8">
      <c r="A244" s="62" t="s">
        <v>85</v>
      </c>
      <c r="B244" s="61" t="s">
        <v>1741</v>
      </c>
      <c r="C244" s="61" t="s">
        <v>1757</v>
      </c>
      <c r="D244" s="61" t="s">
        <v>1896</v>
      </c>
      <c r="E244" s="63" t="s">
        <v>1185</v>
      </c>
      <c r="F244" s="64">
        <v>1</v>
      </c>
      <c r="G244" s="65">
        <v>145000</v>
      </c>
      <c r="H244" s="65">
        <v>145000</v>
      </c>
    </row>
    <row r="245" ht="18" customHeight="true" spans="1:8">
      <c r="A245" s="62" t="s">
        <v>85</v>
      </c>
      <c r="B245" s="61" t="s">
        <v>1741</v>
      </c>
      <c r="C245" s="61" t="s">
        <v>1757</v>
      </c>
      <c r="D245" s="61" t="s">
        <v>1897</v>
      </c>
      <c r="E245" s="63" t="s">
        <v>1185</v>
      </c>
      <c r="F245" s="64">
        <v>1</v>
      </c>
      <c r="G245" s="65">
        <v>150000</v>
      </c>
      <c r="H245" s="65">
        <v>150000</v>
      </c>
    </row>
    <row r="246" ht="18" customHeight="true" spans="1:8">
      <c r="A246" s="62" t="s">
        <v>85</v>
      </c>
      <c r="B246" s="61" t="s">
        <v>1741</v>
      </c>
      <c r="C246" s="61" t="s">
        <v>1788</v>
      </c>
      <c r="D246" s="61" t="s">
        <v>1898</v>
      </c>
      <c r="E246" s="63" t="s">
        <v>1185</v>
      </c>
      <c r="F246" s="64">
        <v>1</v>
      </c>
      <c r="G246" s="65">
        <v>400000</v>
      </c>
      <c r="H246" s="65">
        <v>400000</v>
      </c>
    </row>
    <row r="247" ht="18" customHeight="true" spans="1:8">
      <c r="A247" s="62" t="s">
        <v>85</v>
      </c>
      <c r="B247" s="61" t="s">
        <v>1741</v>
      </c>
      <c r="C247" s="61" t="s">
        <v>1899</v>
      </c>
      <c r="D247" s="61" t="s">
        <v>1900</v>
      </c>
      <c r="E247" s="63" t="s">
        <v>1508</v>
      </c>
      <c r="F247" s="64">
        <v>2</v>
      </c>
      <c r="G247" s="65">
        <v>85500</v>
      </c>
      <c r="H247" s="65">
        <v>171000</v>
      </c>
    </row>
    <row r="248" ht="18" customHeight="true" spans="1:8">
      <c r="A248" s="62" t="s">
        <v>85</v>
      </c>
      <c r="B248" s="61" t="s">
        <v>1741</v>
      </c>
      <c r="C248" s="61" t="s">
        <v>1757</v>
      </c>
      <c r="D248" s="61" t="s">
        <v>1901</v>
      </c>
      <c r="E248" s="63" t="s">
        <v>1185</v>
      </c>
      <c r="F248" s="64">
        <v>1</v>
      </c>
      <c r="G248" s="65">
        <v>120000</v>
      </c>
      <c r="H248" s="65">
        <v>120000</v>
      </c>
    </row>
    <row r="249" ht="18" customHeight="true" spans="1:8">
      <c r="A249" s="62" t="s">
        <v>85</v>
      </c>
      <c r="B249" s="61" t="s">
        <v>1741</v>
      </c>
      <c r="C249" s="61" t="s">
        <v>1757</v>
      </c>
      <c r="D249" s="61" t="s">
        <v>1902</v>
      </c>
      <c r="E249" s="63" t="s">
        <v>1185</v>
      </c>
      <c r="F249" s="64">
        <v>1</v>
      </c>
      <c r="G249" s="65">
        <v>145000</v>
      </c>
      <c r="H249" s="65">
        <v>145000</v>
      </c>
    </row>
    <row r="250" ht="18" customHeight="true" spans="1:8">
      <c r="A250" s="62" t="s">
        <v>85</v>
      </c>
      <c r="B250" s="61" t="s">
        <v>1741</v>
      </c>
      <c r="C250" s="61" t="s">
        <v>1766</v>
      </c>
      <c r="D250" s="61" t="s">
        <v>1887</v>
      </c>
      <c r="E250" s="63" t="s">
        <v>1508</v>
      </c>
      <c r="F250" s="64">
        <v>2</v>
      </c>
      <c r="G250" s="65">
        <v>40000</v>
      </c>
      <c r="H250" s="65">
        <v>80000</v>
      </c>
    </row>
    <row r="251" ht="18" customHeight="true" spans="1:8">
      <c r="A251" s="62" t="s">
        <v>85</v>
      </c>
      <c r="B251" s="61" t="s">
        <v>1741</v>
      </c>
      <c r="C251" s="61" t="s">
        <v>1765</v>
      </c>
      <c r="D251" s="61" t="s">
        <v>1903</v>
      </c>
      <c r="E251" s="63" t="s">
        <v>1508</v>
      </c>
      <c r="F251" s="64">
        <v>1</v>
      </c>
      <c r="G251" s="65">
        <v>28400</v>
      </c>
      <c r="H251" s="65">
        <v>28400</v>
      </c>
    </row>
    <row r="252" ht="18" customHeight="true" spans="1:8">
      <c r="A252" s="62" t="s">
        <v>85</v>
      </c>
      <c r="B252" s="61" t="s">
        <v>1741</v>
      </c>
      <c r="C252" s="61" t="s">
        <v>1757</v>
      </c>
      <c r="D252" s="61" t="s">
        <v>1904</v>
      </c>
      <c r="E252" s="63" t="s">
        <v>1185</v>
      </c>
      <c r="F252" s="64">
        <v>1</v>
      </c>
      <c r="G252" s="65">
        <v>49800</v>
      </c>
      <c r="H252" s="65">
        <v>49800</v>
      </c>
    </row>
    <row r="253" ht="18" customHeight="true" spans="1:8">
      <c r="A253" s="62" t="s">
        <v>85</v>
      </c>
      <c r="B253" s="61" t="s">
        <v>1741</v>
      </c>
      <c r="C253" s="61" t="s">
        <v>1745</v>
      </c>
      <c r="D253" s="61" t="s">
        <v>1867</v>
      </c>
      <c r="E253" s="63" t="s">
        <v>1508</v>
      </c>
      <c r="F253" s="64">
        <v>20</v>
      </c>
      <c r="G253" s="65">
        <v>3000</v>
      </c>
      <c r="H253" s="65">
        <v>60000</v>
      </c>
    </row>
    <row r="254" ht="18" customHeight="true" spans="1:8">
      <c r="A254" s="62" t="s">
        <v>85</v>
      </c>
      <c r="B254" s="61" t="s">
        <v>1741</v>
      </c>
      <c r="C254" s="61" t="s">
        <v>1798</v>
      </c>
      <c r="D254" s="61" t="s">
        <v>1905</v>
      </c>
      <c r="E254" s="63" t="s">
        <v>1508</v>
      </c>
      <c r="F254" s="64">
        <v>15</v>
      </c>
      <c r="G254" s="65">
        <v>1000</v>
      </c>
      <c r="H254" s="65">
        <v>15000</v>
      </c>
    </row>
    <row r="255" ht="18" customHeight="true" spans="1:8">
      <c r="A255" s="62" t="s">
        <v>85</v>
      </c>
      <c r="B255" s="61" t="s">
        <v>1785</v>
      </c>
      <c r="C255" s="61" t="s">
        <v>1845</v>
      </c>
      <c r="D255" s="61" t="s">
        <v>1906</v>
      </c>
      <c r="E255" s="63" t="s">
        <v>1185</v>
      </c>
      <c r="F255" s="64">
        <v>5</v>
      </c>
      <c r="G255" s="65">
        <v>50000</v>
      </c>
      <c r="H255" s="65">
        <v>250000</v>
      </c>
    </row>
    <row r="256" ht="18" customHeight="true" spans="1:8">
      <c r="A256" s="63" t="s">
        <v>30</v>
      </c>
      <c r="B256" s="63"/>
      <c r="C256" s="63"/>
      <c r="D256" s="63"/>
      <c r="E256" s="63"/>
      <c r="F256" s="64">
        <v>1979</v>
      </c>
      <c r="G256" s="65"/>
      <c r="H256" s="65">
        <v>32425362</v>
      </c>
    </row>
  </sheetData>
  <mergeCells count="10">
    <mergeCell ref="A1:H1"/>
    <mergeCell ref="A2:H2"/>
    <mergeCell ref="A3:H3"/>
    <mergeCell ref="F4:H4"/>
    <mergeCell ref="A256:E256"/>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K11"/>
  <sheetViews>
    <sheetView showZeros="0" workbookViewId="0">
      <selection activeCell="C27" sqref="C27"/>
    </sheetView>
  </sheetViews>
  <sheetFormatPr defaultColWidth="9.14166666666667" defaultRowHeight="14.25" customHeight="true"/>
  <cols>
    <col min="1" max="1" width="16.3166666666667" customWidth="true"/>
    <col min="2" max="2" width="29.0333333333333" customWidth="true"/>
    <col min="3" max="3" width="23.85" customWidth="true"/>
    <col min="4" max="7" width="19.6" customWidth="true"/>
    <col min="8" max="8" width="15.425" customWidth="true"/>
    <col min="9" max="11" width="19.6" customWidth="true"/>
  </cols>
  <sheetData>
    <row r="1" ht="13.5" customHeight="true" spans="1:11">
      <c r="A1" s="31" t="s">
        <v>1907</v>
      </c>
      <c r="B1" s="31"/>
      <c r="C1" s="31"/>
      <c r="D1" s="32"/>
      <c r="E1" s="32"/>
      <c r="F1" s="32"/>
      <c r="G1" s="32"/>
      <c r="H1" s="31"/>
      <c r="I1" s="31"/>
      <c r="J1" s="31"/>
      <c r="K1" s="50"/>
    </row>
    <row r="2" ht="28.5" customHeight="true" spans="1:11">
      <c r="A2" s="33" t="s">
        <v>1908</v>
      </c>
      <c r="B2" s="33"/>
      <c r="C2" s="33"/>
      <c r="D2" s="33"/>
      <c r="E2" s="33"/>
      <c r="F2" s="33"/>
      <c r="G2" s="33"/>
      <c r="H2" s="33"/>
      <c r="I2" s="33"/>
      <c r="J2" s="33"/>
      <c r="K2" s="33"/>
    </row>
    <row r="3" ht="13.5" customHeight="true" spans="1:11">
      <c r="A3" s="4" t="str">
        <f>"单位名称："&amp;"玉溪市卫生健康委员会"</f>
        <v>单位名称：玉溪市卫生健康委员会</v>
      </c>
      <c r="B3" s="5"/>
      <c r="C3" s="5"/>
      <c r="D3" s="5"/>
      <c r="E3" s="5"/>
      <c r="F3" s="5"/>
      <c r="G3" s="5"/>
      <c r="H3" s="23"/>
      <c r="I3" s="23"/>
      <c r="J3" s="23"/>
      <c r="K3" s="51" t="s">
        <v>2</v>
      </c>
    </row>
    <row r="4" ht="21.75" customHeight="true" spans="1:11">
      <c r="A4" s="34" t="s">
        <v>532</v>
      </c>
      <c r="B4" s="34" t="s">
        <v>199</v>
      </c>
      <c r="C4" s="34" t="s">
        <v>533</v>
      </c>
      <c r="D4" s="35" t="s">
        <v>200</v>
      </c>
      <c r="E4" s="35" t="s">
        <v>201</v>
      </c>
      <c r="F4" s="35" t="s">
        <v>202</v>
      </c>
      <c r="G4" s="35" t="s">
        <v>203</v>
      </c>
      <c r="H4" s="45" t="s">
        <v>30</v>
      </c>
      <c r="I4" s="52" t="s">
        <v>1909</v>
      </c>
      <c r="J4" s="53"/>
      <c r="K4" s="54"/>
    </row>
    <row r="5" ht="21.75" customHeight="true" spans="1:11">
      <c r="A5" s="36"/>
      <c r="B5" s="36"/>
      <c r="C5" s="36"/>
      <c r="D5" s="37"/>
      <c r="E5" s="37"/>
      <c r="F5" s="37"/>
      <c r="G5" s="37"/>
      <c r="H5" s="46"/>
      <c r="I5" s="35" t="s">
        <v>33</v>
      </c>
      <c r="J5" s="35" t="s">
        <v>34</v>
      </c>
      <c r="K5" s="35" t="s">
        <v>35</v>
      </c>
    </row>
    <row r="6" ht="40.5" customHeight="true" spans="1:11">
      <c r="A6" s="38"/>
      <c r="B6" s="38"/>
      <c r="C6" s="38"/>
      <c r="D6" s="39"/>
      <c r="E6" s="39"/>
      <c r="F6" s="39"/>
      <c r="G6" s="39"/>
      <c r="H6" s="47"/>
      <c r="I6" s="39" t="s">
        <v>32</v>
      </c>
      <c r="J6" s="39"/>
      <c r="K6" s="39"/>
    </row>
    <row r="7" ht="15" customHeight="true" spans="1:11">
      <c r="A7" s="40">
        <v>1</v>
      </c>
      <c r="B7" s="40">
        <v>2</v>
      </c>
      <c r="C7" s="40">
        <v>3</v>
      </c>
      <c r="D7" s="40">
        <v>4</v>
      </c>
      <c r="E7" s="40">
        <v>5</v>
      </c>
      <c r="F7" s="40">
        <v>6</v>
      </c>
      <c r="G7" s="40">
        <v>7</v>
      </c>
      <c r="H7" s="40">
        <v>8</v>
      </c>
      <c r="I7" s="40">
        <v>9</v>
      </c>
      <c r="J7" s="55">
        <v>10</v>
      </c>
      <c r="K7" s="55">
        <v>11</v>
      </c>
    </row>
    <row r="8" ht="30.65" customHeight="true" spans="1:11">
      <c r="A8" s="41"/>
      <c r="B8" s="42"/>
      <c r="C8" s="41"/>
      <c r="D8" s="41"/>
      <c r="E8" s="41"/>
      <c r="F8" s="41"/>
      <c r="G8" s="41"/>
      <c r="H8" s="48"/>
      <c r="I8" s="48"/>
      <c r="J8" s="48"/>
      <c r="K8" s="48"/>
    </row>
    <row r="9" ht="30.65" customHeight="true" spans="1:11">
      <c r="A9" s="42"/>
      <c r="B9" s="42"/>
      <c r="C9" s="42"/>
      <c r="D9" s="42"/>
      <c r="E9" s="42"/>
      <c r="F9" s="42"/>
      <c r="G9" s="42"/>
      <c r="H9" s="48"/>
      <c r="I9" s="48"/>
      <c r="J9" s="48"/>
      <c r="K9" s="48"/>
    </row>
    <row r="10" ht="18.75" customHeight="true" spans="1:11">
      <c r="A10" s="43" t="s">
        <v>908</v>
      </c>
      <c r="B10" s="44"/>
      <c r="C10" s="44"/>
      <c r="D10" s="44"/>
      <c r="E10" s="44"/>
      <c r="F10" s="44"/>
      <c r="G10" s="49"/>
      <c r="H10" s="48"/>
      <c r="I10" s="48"/>
      <c r="J10" s="48"/>
      <c r="K10" s="48"/>
    </row>
    <row r="11" customHeight="true" spans="1:1">
      <c r="A11" t="s">
        <v>1910</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42"/>
  <sheetViews>
    <sheetView showZeros="0" topLeftCell="A17" workbookViewId="0">
      <selection activeCell="C27" sqref="C27"/>
    </sheetView>
  </sheetViews>
  <sheetFormatPr defaultColWidth="9.14166666666667" defaultRowHeight="14.25" customHeight="true" outlineLevelCol="6"/>
  <cols>
    <col min="1" max="1" width="37.7416666666667" customWidth="true"/>
    <col min="2" max="2" width="15.5666666666667" customWidth="true"/>
    <col min="3" max="3" width="55.375" customWidth="true"/>
    <col min="4" max="4" width="9.7" customWidth="true"/>
    <col min="5" max="7" width="19.8416666666667" customWidth="true"/>
  </cols>
  <sheetData>
    <row r="1" ht="13.5" customHeight="true" spans="1:7">
      <c r="A1" s="1" t="s">
        <v>1911</v>
      </c>
      <c r="B1" s="1"/>
      <c r="C1" s="1"/>
      <c r="D1" s="2"/>
      <c r="E1" s="1"/>
      <c r="F1" s="1"/>
      <c r="G1" s="22"/>
    </row>
    <row r="2" ht="27.75" customHeight="true" spans="1:7">
      <c r="A2" s="3" t="s">
        <v>1912</v>
      </c>
      <c r="B2" s="3"/>
      <c r="C2" s="3"/>
      <c r="D2" s="3"/>
      <c r="E2" s="3"/>
      <c r="F2" s="3"/>
      <c r="G2" s="3"/>
    </row>
    <row r="3" ht="13.5" customHeight="true" spans="1:7">
      <c r="A3" s="4" t="str">
        <f>"单位名称："&amp;"玉溪市卫生健康委员会"</f>
        <v>单位名称：玉溪市卫生健康委员会</v>
      </c>
      <c r="B3" s="5"/>
      <c r="C3" s="5"/>
      <c r="D3" s="5"/>
      <c r="E3" s="23"/>
      <c r="F3" s="23"/>
      <c r="G3" s="24" t="s">
        <v>2</v>
      </c>
    </row>
    <row r="4" ht="21.75" customHeight="true" spans="1:7">
      <c r="A4" s="6" t="s">
        <v>533</v>
      </c>
      <c r="B4" s="6" t="s">
        <v>532</v>
      </c>
      <c r="C4" s="6" t="s">
        <v>199</v>
      </c>
      <c r="D4" s="7" t="s">
        <v>1913</v>
      </c>
      <c r="E4" s="25" t="s">
        <v>33</v>
      </c>
      <c r="F4" s="26"/>
      <c r="G4" s="27"/>
    </row>
    <row r="5" ht="21.75" customHeight="true" spans="1:7">
      <c r="A5" s="8"/>
      <c r="B5" s="8"/>
      <c r="C5" s="8"/>
      <c r="D5" s="9"/>
      <c r="E5" s="28" t="s">
        <v>1914</v>
      </c>
      <c r="F5" s="7" t="s">
        <v>1915</v>
      </c>
      <c r="G5" s="7" t="s">
        <v>1916</v>
      </c>
    </row>
    <row r="6" ht="40.5" customHeight="true" spans="1:7">
      <c r="A6" s="10"/>
      <c r="B6" s="10"/>
      <c r="C6" s="10"/>
      <c r="D6" s="11"/>
      <c r="E6" s="29"/>
      <c r="F6" s="11" t="s">
        <v>32</v>
      </c>
      <c r="G6" s="11"/>
    </row>
    <row r="7" ht="15" customHeight="true" spans="1:7">
      <c r="A7" s="12">
        <v>1</v>
      </c>
      <c r="B7" s="12">
        <v>2</v>
      </c>
      <c r="C7" s="12">
        <v>3</v>
      </c>
      <c r="D7" s="12">
        <v>4</v>
      </c>
      <c r="E7" s="12">
        <v>5</v>
      </c>
      <c r="F7" s="12">
        <v>6</v>
      </c>
      <c r="G7" s="12">
        <v>7</v>
      </c>
    </row>
    <row r="8" ht="21" customHeight="true" spans="1:7">
      <c r="A8" s="13" t="s">
        <v>64</v>
      </c>
      <c r="B8" s="14"/>
      <c r="C8" s="14"/>
      <c r="D8" s="15"/>
      <c r="E8" s="30">
        <v>36916868.5</v>
      </c>
      <c r="F8" s="30">
        <v>5500000</v>
      </c>
      <c r="G8" s="30">
        <v>5600000</v>
      </c>
    </row>
    <row r="9" ht="21" customHeight="true" spans="1:7">
      <c r="A9" s="16" t="s">
        <v>64</v>
      </c>
      <c r="B9" s="13"/>
      <c r="C9" s="13"/>
      <c r="D9" s="17"/>
      <c r="E9" s="30">
        <v>33861868.5</v>
      </c>
      <c r="F9" s="30">
        <v>5500000</v>
      </c>
      <c r="G9" s="30">
        <v>5600000</v>
      </c>
    </row>
    <row r="10" ht="21" customHeight="true" spans="1:7">
      <c r="A10" s="18"/>
      <c r="B10" s="13" t="s">
        <v>1917</v>
      </c>
      <c r="C10" s="13" t="s">
        <v>540</v>
      </c>
      <c r="D10" s="17" t="s">
        <v>1918</v>
      </c>
      <c r="E10" s="30">
        <v>30000</v>
      </c>
      <c r="F10" s="30"/>
      <c r="G10" s="30"/>
    </row>
    <row r="11" ht="21" customHeight="true" spans="1:7">
      <c r="A11" s="18"/>
      <c r="B11" s="13" t="s">
        <v>1917</v>
      </c>
      <c r="C11" s="13" t="s">
        <v>537</v>
      </c>
      <c r="D11" s="17" t="s">
        <v>1918</v>
      </c>
      <c r="E11" s="30">
        <v>142500</v>
      </c>
      <c r="F11" s="30"/>
      <c r="G11" s="30"/>
    </row>
    <row r="12" ht="21" customHeight="true" spans="1:7">
      <c r="A12" s="18"/>
      <c r="B12" s="13" t="s">
        <v>1919</v>
      </c>
      <c r="C12" s="13" t="s">
        <v>564</v>
      </c>
      <c r="D12" s="17" t="s">
        <v>1920</v>
      </c>
      <c r="E12" s="30">
        <v>4621500</v>
      </c>
      <c r="F12" s="30"/>
      <c r="G12" s="30"/>
    </row>
    <row r="13" ht="21" customHeight="true" spans="1:7">
      <c r="A13" s="18"/>
      <c r="B13" s="13" t="s">
        <v>1921</v>
      </c>
      <c r="C13" s="13" t="s">
        <v>558</v>
      </c>
      <c r="D13" s="17" t="s">
        <v>1920</v>
      </c>
      <c r="E13" s="30">
        <v>1248000</v>
      </c>
      <c r="F13" s="30"/>
      <c r="G13" s="30"/>
    </row>
    <row r="14" ht="21" customHeight="true" spans="1:7">
      <c r="A14" s="18"/>
      <c r="B14" s="13" t="s">
        <v>1922</v>
      </c>
      <c r="C14" s="13" t="s">
        <v>612</v>
      </c>
      <c r="D14" s="17" t="s">
        <v>1918</v>
      </c>
      <c r="E14" s="30">
        <v>400000</v>
      </c>
      <c r="F14" s="30"/>
      <c r="G14" s="30"/>
    </row>
    <row r="15" ht="21" customHeight="true" spans="1:7">
      <c r="A15" s="18"/>
      <c r="B15" s="13" t="s">
        <v>1921</v>
      </c>
      <c r="C15" s="13" t="s">
        <v>606</v>
      </c>
      <c r="D15" s="17" t="s">
        <v>1920</v>
      </c>
      <c r="E15" s="30">
        <v>1565000</v>
      </c>
      <c r="F15" s="30"/>
      <c r="G15" s="30"/>
    </row>
    <row r="16" ht="21" customHeight="true" spans="1:7">
      <c r="A16" s="18"/>
      <c r="B16" s="13" t="s">
        <v>1917</v>
      </c>
      <c r="C16" s="13" t="s">
        <v>547</v>
      </c>
      <c r="D16" s="17" t="s">
        <v>1918</v>
      </c>
      <c r="E16" s="30">
        <v>200000</v>
      </c>
      <c r="F16" s="30"/>
      <c r="G16" s="30"/>
    </row>
    <row r="17" ht="21" customHeight="true" spans="1:7">
      <c r="A17" s="18"/>
      <c r="B17" s="13" t="s">
        <v>1919</v>
      </c>
      <c r="C17" s="13" t="s">
        <v>543</v>
      </c>
      <c r="D17" s="17" t="s">
        <v>1920</v>
      </c>
      <c r="E17" s="30">
        <v>2975200</v>
      </c>
      <c r="F17" s="30"/>
      <c r="G17" s="30"/>
    </row>
    <row r="18" ht="21" customHeight="true" spans="1:7">
      <c r="A18" s="18"/>
      <c r="B18" s="13" t="s">
        <v>1923</v>
      </c>
      <c r="C18" s="13" t="s">
        <v>610</v>
      </c>
      <c r="D18" s="17" t="s">
        <v>1918</v>
      </c>
      <c r="E18" s="30">
        <v>600000</v>
      </c>
      <c r="F18" s="30"/>
      <c r="G18" s="30"/>
    </row>
    <row r="19" ht="21" customHeight="true" spans="1:7">
      <c r="A19" s="18"/>
      <c r="B19" s="13" t="s">
        <v>1919</v>
      </c>
      <c r="C19" s="13" t="s">
        <v>552</v>
      </c>
      <c r="D19" s="17" t="s">
        <v>1920</v>
      </c>
      <c r="E19" s="30">
        <v>12085140</v>
      </c>
      <c r="F19" s="30"/>
      <c r="G19" s="30"/>
    </row>
    <row r="20" ht="21" customHeight="true" spans="1:7">
      <c r="A20" s="18"/>
      <c r="B20" s="13" t="s">
        <v>1919</v>
      </c>
      <c r="C20" s="13" t="s">
        <v>550</v>
      </c>
      <c r="D20" s="17" t="s">
        <v>1920</v>
      </c>
      <c r="E20" s="30">
        <v>1141537.5</v>
      </c>
      <c r="F20" s="30"/>
      <c r="G20" s="30"/>
    </row>
    <row r="21" ht="21" customHeight="true" spans="1:7">
      <c r="A21" s="18"/>
      <c r="B21" s="13" t="s">
        <v>1923</v>
      </c>
      <c r="C21" s="13" t="s">
        <v>608</v>
      </c>
      <c r="D21" s="17" t="s">
        <v>1918</v>
      </c>
      <c r="E21" s="30">
        <v>400000</v>
      </c>
      <c r="F21" s="30"/>
      <c r="G21" s="30"/>
    </row>
    <row r="22" ht="21" customHeight="true" spans="1:7">
      <c r="A22" s="18"/>
      <c r="B22" s="13" t="s">
        <v>1922</v>
      </c>
      <c r="C22" s="13" t="s">
        <v>604</v>
      </c>
      <c r="D22" s="17" t="s">
        <v>1918</v>
      </c>
      <c r="E22" s="30">
        <v>281700</v>
      </c>
      <c r="F22" s="30"/>
      <c r="G22" s="30"/>
    </row>
    <row r="23" ht="21" customHeight="true" spans="1:7">
      <c r="A23" s="18"/>
      <c r="B23" s="13" t="s">
        <v>1923</v>
      </c>
      <c r="C23" s="13" t="s">
        <v>561</v>
      </c>
      <c r="D23" s="17" t="s">
        <v>1918</v>
      </c>
      <c r="E23" s="30">
        <v>1000000</v>
      </c>
      <c r="F23" s="30"/>
      <c r="G23" s="30"/>
    </row>
    <row r="24" ht="21" customHeight="true" spans="1:7">
      <c r="A24" s="18"/>
      <c r="B24" s="13" t="s">
        <v>1919</v>
      </c>
      <c r="C24" s="13" t="s">
        <v>556</v>
      </c>
      <c r="D24" s="17" t="s">
        <v>1920</v>
      </c>
      <c r="E24" s="30">
        <v>5112400</v>
      </c>
      <c r="F24" s="30">
        <v>5500000</v>
      </c>
      <c r="G24" s="30">
        <v>5600000</v>
      </c>
    </row>
    <row r="25" ht="21" customHeight="true" spans="1:7">
      <c r="A25" s="18"/>
      <c r="B25" s="13" t="s">
        <v>1921</v>
      </c>
      <c r="C25" s="13" t="s">
        <v>617</v>
      </c>
      <c r="D25" s="17" t="s">
        <v>1920</v>
      </c>
      <c r="E25" s="30">
        <v>500000</v>
      </c>
      <c r="F25" s="30"/>
      <c r="G25" s="30"/>
    </row>
    <row r="26" ht="21" customHeight="true" spans="1:7">
      <c r="A26" s="18"/>
      <c r="B26" s="13" t="s">
        <v>1917</v>
      </c>
      <c r="C26" s="13" t="s">
        <v>614</v>
      </c>
      <c r="D26" s="17" t="s">
        <v>1918</v>
      </c>
      <c r="E26" s="30">
        <v>343800</v>
      </c>
      <c r="F26" s="30"/>
      <c r="G26" s="30"/>
    </row>
    <row r="27" ht="21" customHeight="true" spans="1:7">
      <c r="A27" s="18"/>
      <c r="B27" s="13" t="s">
        <v>1919</v>
      </c>
      <c r="C27" s="13" t="s">
        <v>588</v>
      </c>
      <c r="D27" s="17" t="s">
        <v>1920</v>
      </c>
      <c r="E27" s="30">
        <v>1215091</v>
      </c>
      <c r="F27" s="30"/>
      <c r="G27" s="30"/>
    </row>
    <row r="28" ht="21" customHeight="true" spans="1:7">
      <c r="A28" s="16" t="s">
        <v>67</v>
      </c>
      <c r="B28" s="18"/>
      <c r="C28" s="18"/>
      <c r="D28" s="18"/>
      <c r="E28" s="30">
        <v>920000</v>
      </c>
      <c r="F28" s="30"/>
      <c r="G28" s="30"/>
    </row>
    <row r="29" ht="21" customHeight="true" spans="1:7">
      <c r="A29" s="18"/>
      <c r="B29" s="13" t="s">
        <v>1922</v>
      </c>
      <c r="C29" s="13" t="s">
        <v>656</v>
      </c>
      <c r="D29" s="17" t="s">
        <v>1918</v>
      </c>
      <c r="E29" s="30">
        <v>920000</v>
      </c>
      <c r="F29" s="30"/>
      <c r="G29" s="30"/>
    </row>
    <row r="30" ht="21" customHeight="true" spans="1:7">
      <c r="A30" s="16" t="s">
        <v>69</v>
      </c>
      <c r="B30" s="18"/>
      <c r="C30" s="18"/>
      <c r="D30" s="18"/>
      <c r="E30" s="30">
        <v>55000</v>
      </c>
      <c r="F30" s="30"/>
      <c r="G30" s="30"/>
    </row>
    <row r="31" ht="21" customHeight="true" spans="1:7">
      <c r="A31" s="18"/>
      <c r="B31" s="13" t="s">
        <v>1922</v>
      </c>
      <c r="C31" s="13" t="s">
        <v>707</v>
      </c>
      <c r="D31" s="17" t="s">
        <v>1918</v>
      </c>
      <c r="E31" s="30">
        <v>55000</v>
      </c>
      <c r="F31" s="30"/>
      <c r="G31" s="30"/>
    </row>
    <row r="32" ht="21" customHeight="true" spans="1:7">
      <c r="A32" s="16" t="s">
        <v>71</v>
      </c>
      <c r="B32" s="18"/>
      <c r="C32" s="18"/>
      <c r="D32" s="18"/>
      <c r="E32" s="30">
        <v>30000</v>
      </c>
      <c r="F32" s="30"/>
      <c r="G32" s="30"/>
    </row>
    <row r="33" ht="21" customHeight="true" spans="1:7">
      <c r="A33" s="18"/>
      <c r="B33" s="13" t="s">
        <v>1922</v>
      </c>
      <c r="C33" s="13" t="s">
        <v>724</v>
      </c>
      <c r="D33" s="17" t="s">
        <v>1918</v>
      </c>
      <c r="E33" s="30">
        <v>30000</v>
      </c>
      <c r="F33" s="30"/>
      <c r="G33" s="30"/>
    </row>
    <row r="34" ht="21" customHeight="true" spans="1:7">
      <c r="A34" s="16" t="s">
        <v>73</v>
      </c>
      <c r="B34" s="18"/>
      <c r="C34" s="18"/>
      <c r="D34" s="18"/>
      <c r="E34" s="30">
        <v>30000</v>
      </c>
      <c r="F34" s="30"/>
      <c r="G34" s="30"/>
    </row>
    <row r="35" ht="21" customHeight="true" spans="1:7">
      <c r="A35" s="18"/>
      <c r="B35" s="13" t="s">
        <v>1917</v>
      </c>
      <c r="C35" s="13" t="s">
        <v>734</v>
      </c>
      <c r="D35" s="17" t="s">
        <v>1918</v>
      </c>
      <c r="E35" s="30">
        <v>30000</v>
      </c>
      <c r="F35" s="30"/>
      <c r="G35" s="30"/>
    </row>
    <row r="36" ht="21" customHeight="true" spans="1:7">
      <c r="A36" s="16" t="s">
        <v>75</v>
      </c>
      <c r="B36" s="18"/>
      <c r="C36" s="18"/>
      <c r="D36" s="18"/>
      <c r="E36" s="30">
        <v>1700000</v>
      </c>
      <c r="F36" s="30"/>
      <c r="G36" s="30"/>
    </row>
    <row r="37" ht="21" customHeight="true" spans="1:7">
      <c r="A37" s="18"/>
      <c r="B37" s="13" t="s">
        <v>1922</v>
      </c>
      <c r="C37" s="13" t="s">
        <v>796</v>
      </c>
      <c r="D37" s="17" t="s">
        <v>1918</v>
      </c>
      <c r="E37" s="30">
        <v>1700000</v>
      </c>
      <c r="F37" s="30"/>
      <c r="G37" s="30"/>
    </row>
    <row r="38" ht="21" customHeight="true" spans="1:7">
      <c r="A38" s="16" t="s">
        <v>77</v>
      </c>
      <c r="B38" s="18"/>
      <c r="C38" s="18"/>
      <c r="D38" s="18"/>
      <c r="E38" s="30">
        <v>220000</v>
      </c>
      <c r="F38" s="30"/>
      <c r="G38" s="30"/>
    </row>
    <row r="39" ht="21" customHeight="true" spans="1:7">
      <c r="A39" s="18"/>
      <c r="B39" s="13" t="s">
        <v>1923</v>
      </c>
      <c r="C39" s="13" t="s">
        <v>834</v>
      </c>
      <c r="D39" s="17" t="s">
        <v>1918</v>
      </c>
      <c r="E39" s="30">
        <v>220000</v>
      </c>
      <c r="F39" s="30"/>
      <c r="G39" s="30"/>
    </row>
    <row r="40" ht="21" customHeight="true" spans="1:7">
      <c r="A40" s="16" t="s">
        <v>83</v>
      </c>
      <c r="B40" s="18"/>
      <c r="C40" s="18"/>
      <c r="D40" s="18"/>
      <c r="E40" s="30">
        <v>100000</v>
      </c>
      <c r="F40" s="30"/>
      <c r="G40" s="30"/>
    </row>
    <row r="41" ht="21" customHeight="true" spans="1:7">
      <c r="A41" s="18"/>
      <c r="B41" s="13" t="s">
        <v>1922</v>
      </c>
      <c r="C41" s="13" t="s">
        <v>902</v>
      </c>
      <c r="D41" s="17" t="s">
        <v>1918</v>
      </c>
      <c r="E41" s="30">
        <v>100000</v>
      </c>
      <c r="F41" s="30"/>
      <c r="G41" s="30"/>
    </row>
    <row r="42" ht="21" customHeight="true" spans="1:7">
      <c r="A42" s="19" t="s">
        <v>30</v>
      </c>
      <c r="B42" s="20" t="s">
        <v>1924</v>
      </c>
      <c r="C42" s="20"/>
      <c r="D42" s="21"/>
      <c r="E42" s="30">
        <v>36916868.5</v>
      </c>
      <c r="F42" s="30">
        <v>5500000</v>
      </c>
      <c r="G42" s="30">
        <v>5600000</v>
      </c>
    </row>
  </sheetData>
  <mergeCells count="12">
    <mergeCell ref="A1:G1"/>
    <mergeCell ref="A2:G2"/>
    <mergeCell ref="A3:D3"/>
    <mergeCell ref="E4:G4"/>
    <mergeCell ref="A42:D42"/>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S20"/>
  <sheetViews>
    <sheetView showZeros="0" tabSelected="1" topLeftCell="F1" workbookViewId="0">
      <selection activeCell="C27" sqref="C27"/>
    </sheetView>
  </sheetViews>
  <sheetFormatPr defaultColWidth="8.85" defaultRowHeight="15" customHeight="true"/>
  <cols>
    <col min="1" max="1" width="17.8416666666667" customWidth="true"/>
    <col min="2" max="2" width="37.5" customWidth="true"/>
    <col min="3" max="3" width="16.2833333333333" customWidth="true"/>
    <col min="4" max="4" width="16.4166666666667" customWidth="true"/>
    <col min="5" max="6" width="16.2833333333333" customWidth="true"/>
    <col min="7" max="11" width="16.4166666666667" customWidth="true"/>
    <col min="12" max="18" width="16.2833333333333" customWidth="true"/>
    <col min="19" max="19" width="16.4166666666667" customWidth="true"/>
  </cols>
  <sheetData>
    <row r="1" customHeight="true" spans="1:19">
      <c r="A1" s="174" t="s">
        <v>26</v>
      </c>
      <c r="B1" s="174"/>
      <c r="C1" s="174"/>
      <c r="D1" s="174"/>
      <c r="E1" s="174"/>
      <c r="F1" s="174"/>
      <c r="G1" s="174"/>
      <c r="H1" s="174"/>
      <c r="I1" s="174"/>
      <c r="J1" s="174"/>
      <c r="K1" s="174"/>
      <c r="L1" s="174"/>
      <c r="M1" s="174"/>
      <c r="N1" s="174"/>
      <c r="O1" s="174"/>
      <c r="P1" s="174"/>
      <c r="Q1" s="174"/>
      <c r="R1" s="174"/>
      <c r="S1" s="174"/>
    </row>
    <row r="2" ht="28.5" customHeight="true" spans="1:19">
      <c r="A2" s="57" t="s">
        <v>27</v>
      </c>
      <c r="B2" s="57"/>
      <c r="C2" s="57"/>
      <c r="D2" s="57"/>
      <c r="E2" s="57"/>
      <c r="F2" s="57"/>
      <c r="G2" s="57"/>
      <c r="H2" s="57"/>
      <c r="I2" s="57"/>
      <c r="J2" s="57"/>
      <c r="K2" s="57"/>
      <c r="L2" s="57"/>
      <c r="M2" s="57"/>
      <c r="N2" s="57"/>
      <c r="O2" s="57"/>
      <c r="P2" s="57"/>
      <c r="Q2" s="57"/>
      <c r="R2" s="57"/>
      <c r="S2" s="57"/>
    </row>
    <row r="3" ht="20.25" customHeight="true" spans="1:19">
      <c r="A3" s="58" t="str">
        <f>"单位名称："&amp;"玉溪市卫生健康委员会"</f>
        <v>单位名称：玉溪市卫生健康委员会</v>
      </c>
      <c r="B3" s="58"/>
      <c r="C3" s="58"/>
      <c r="D3" s="58"/>
      <c r="E3" s="58"/>
      <c r="F3" s="58"/>
      <c r="G3" s="58"/>
      <c r="H3" s="58"/>
      <c r="I3" s="58"/>
      <c r="J3" s="58"/>
      <c r="K3" s="58"/>
      <c r="L3" s="56"/>
      <c r="M3" s="56"/>
      <c r="N3" s="56"/>
      <c r="O3" s="56"/>
      <c r="P3" s="56"/>
      <c r="Q3" s="56"/>
      <c r="R3" s="56"/>
      <c r="S3" s="56" t="s">
        <v>2</v>
      </c>
    </row>
    <row r="4" ht="27" customHeight="true" spans="1:19">
      <c r="A4" s="160" t="s">
        <v>28</v>
      </c>
      <c r="B4" s="160" t="s">
        <v>29</v>
      </c>
      <c r="C4" s="160" t="s">
        <v>30</v>
      </c>
      <c r="D4" s="160" t="s">
        <v>31</v>
      </c>
      <c r="E4" s="160"/>
      <c r="F4" s="160"/>
      <c r="G4" s="160"/>
      <c r="H4" s="160"/>
      <c r="I4" s="160"/>
      <c r="J4" s="160"/>
      <c r="K4" s="160"/>
      <c r="L4" s="160"/>
      <c r="M4" s="160"/>
      <c r="N4" s="160"/>
      <c r="O4" s="160" t="s">
        <v>20</v>
      </c>
      <c r="P4" s="160"/>
      <c r="Q4" s="160"/>
      <c r="R4" s="160"/>
      <c r="S4" s="160"/>
    </row>
    <row r="5" ht="27" customHeight="true" spans="1:19">
      <c r="A5" s="160"/>
      <c r="B5" s="160"/>
      <c r="C5" s="160"/>
      <c r="D5" s="160" t="s">
        <v>32</v>
      </c>
      <c r="E5" s="160" t="s">
        <v>33</v>
      </c>
      <c r="F5" s="160" t="s">
        <v>34</v>
      </c>
      <c r="G5" s="160" t="s">
        <v>35</v>
      </c>
      <c r="H5" s="160" t="s">
        <v>36</v>
      </c>
      <c r="I5" s="160" t="s">
        <v>37</v>
      </c>
      <c r="J5" s="160"/>
      <c r="K5" s="160"/>
      <c r="L5" s="160"/>
      <c r="M5" s="160"/>
      <c r="N5" s="160"/>
      <c r="O5" s="160" t="s">
        <v>32</v>
      </c>
      <c r="P5" s="160" t="s">
        <v>33</v>
      </c>
      <c r="Q5" s="160" t="s">
        <v>34</v>
      </c>
      <c r="R5" s="160" t="s">
        <v>35</v>
      </c>
      <c r="S5" s="160" t="s">
        <v>38</v>
      </c>
    </row>
    <row r="6" ht="27" customHeight="true" spans="1:19">
      <c r="A6" s="160"/>
      <c r="B6" s="160"/>
      <c r="C6" s="160"/>
      <c r="D6" s="160"/>
      <c r="E6" s="160"/>
      <c r="F6" s="160"/>
      <c r="G6" s="160"/>
      <c r="H6" s="160"/>
      <c r="I6" s="160" t="s">
        <v>32</v>
      </c>
      <c r="J6" s="160" t="s">
        <v>39</v>
      </c>
      <c r="K6" s="160" t="s">
        <v>40</v>
      </c>
      <c r="L6" s="160" t="s">
        <v>41</v>
      </c>
      <c r="M6" s="160" t="s">
        <v>42</v>
      </c>
      <c r="N6" s="160" t="s">
        <v>43</v>
      </c>
      <c r="O6" s="160"/>
      <c r="P6" s="160"/>
      <c r="Q6" s="160"/>
      <c r="R6" s="160"/>
      <c r="S6" s="160"/>
    </row>
    <row r="7" ht="20.25" customHeight="true" spans="1:19">
      <c r="A7" s="173" t="s">
        <v>44</v>
      </c>
      <c r="B7" s="173" t="s">
        <v>45</v>
      </c>
      <c r="C7" s="173" t="s">
        <v>46</v>
      </c>
      <c r="D7" s="173" t="s">
        <v>47</v>
      </c>
      <c r="E7" s="173" t="s">
        <v>48</v>
      </c>
      <c r="F7" s="173" t="s">
        <v>49</v>
      </c>
      <c r="G7" s="173" t="s">
        <v>50</v>
      </c>
      <c r="H7" s="173" t="s">
        <v>51</v>
      </c>
      <c r="I7" s="173" t="s">
        <v>52</v>
      </c>
      <c r="J7" s="173" t="s">
        <v>53</v>
      </c>
      <c r="K7" s="173" t="s">
        <v>54</v>
      </c>
      <c r="L7" s="173" t="s">
        <v>55</v>
      </c>
      <c r="M7" s="173" t="s">
        <v>56</v>
      </c>
      <c r="N7" s="173" t="s">
        <v>57</v>
      </c>
      <c r="O7" s="173" t="s">
        <v>58</v>
      </c>
      <c r="P7" s="173" t="s">
        <v>59</v>
      </c>
      <c r="Q7" s="173" t="s">
        <v>60</v>
      </c>
      <c r="R7" s="173" t="s">
        <v>61</v>
      </c>
      <c r="S7" s="173" t="s">
        <v>62</v>
      </c>
    </row>
    <row r="8" ht="20.25" customHeight="true" spans="1:19">
      <c r="A8" s="163" t="s">
        <v>63</v>
      </c>
      <c r="B8" s="163" t="s">
        <v>64</v>
      </c>
      <c r="C8" s="166">
        <v>3156851071.51</v>
      </c>
      <c r="D8" s="166">
        <v>2935815887.68</v>
      </c>
      <c r="E8" s="169">
        <v>453010604.83</v>
      </c>
      <c r="F8" s="169"/>
      <c r="G8" s="169"/>
      <c r="H8" s="169"/>
      <c r="I8" s="169">
        <v>2482805282.85</v>
      </c>
      <c r="J8" s="169">
        <v>2482800182.85</v>
      </c>
      <c r="K8" s="169"/>
      <c r="L8" s="169"/>
      <c r="M8" s="169"/>
      <c r="N8" s="169">
        <v>5100</v>
      </c>
      <c r="O8" s="166">
        <v>221035183.83</v>
      </c>
      <c r="P8" s="166">
        <v>116558016.84</v>
      </c>
      <c r="Q8" s="166"/>
      <c r="R8" s="166"/>
      <c r="S8" s="166">
        <v>104477166.99</v>
      </c>
    </row>
    <row r="9" ht="20.25" customHeight="true" spans="1:19">
      <c r="A9" s="175" t="s">
        <v>65</v>
      </c>
      <c r="B9" s="175" t="s">
        <v>64</v>
      </c>
      <c r="C9" s="166">
        <v>300683305.53</v>
      </c>
      <c r="D9" s="166">
        <v>295076320.13</v>
      </c>
      <c r="E9" s="169">
        <v>295076320.13</v>
      </c>
      <c r="F9" s="169"/>
      <c r="G9" s="169"/>
      <c r="H9" s="169"/>
      <c r="I9" s="169"/>
      <c r="J9" s="169"/>
      <c r="K9" s="169"/>
      <c r="L9" s="169"/>
      <c r="M9" s="169"/>
      <c r="N9" s="169"/>
      <c r="O9" s="166">
        <v>5606985.4</v>
      </c>
      <c r="P9" s="166">
        <v>5606985.4</v>
      </c>
      <c r="Q9" s="166"/>
      <c r="R9" s="163"/>
      <c r="S9" s="166"/>
    </row>
    <row r="10" ht="20.25" customHeight="true" spans="1:19">
      <c r="A10" s="175" t="s">
        <v>66</v>
      </c>
      <c r="B10" s="175" t="s">
        <v>67</v>
      </c>
      <c r="C10" s="166">
        <v>41416535.37</v>
      </c>
      <c r="D10" s="166">
        <v>27187815.51</v>
      </c>
      <c r="E10" s="169">
        <v>25527815.51</v>
      </c>
      <c r="F10" s="169"/>
      <c r="G10" s="169"/>
      <c r="H10" s="169"/>
      <c r="I10" s="169">
        <v>1660000</v>
      </c>
      <c r="J10" s="169">
        <v>1660000</v>
      </c>
      <c r="K10" s="169"/>
      <c r="L10" s="169"/>
      <c r="M10" s="169"/>
      <c r="N10" s="169"/>
      <c r="O10" s="166">
        <v>14228719.86</v>
      </c>
      <c r="P10" s="166">
        <v>12995193.67</v>
      </c>
      <c r="Q10" s="166"/>
      <c r="R10" s="163"/>
      <c r="S10" s="166">
        <v>1233526.19</v>
      </c>
    </row>
    <row r="11" ht="20.25" customHeight="true" spans="1:19">
      <c r="A11" s="175" t="s">
        <v>68</v>
      </c>
      <c r="B11" s="175" t="s">
        <v>69</v>
      </c>
      <c r="C11" s="166">
        <v>147820746.44</v>
      </c>
      <c r="D11" s="166">
        <v>83785411.99</v>
      </c>
      <c r="E11" s="169">
        <v>23785411.99</v>
      </c>
      <c r="F11" s="169"/>
      <c r="G11" s="169"/>
      <c r="H11" s="169"/>
      <c r="I11" s="169">
        <v>60000000</v>
      </c>
      <c r="J11" s="169">
        <v>60000000</v>
      </c>
      <c r="K11" s="169"/>
      <c r="L11" s="169"/>
      <c r="M11" s="169"/>
      <c r="N11" s="169"/>
      <c r="O11" s="166">
        <v>64035334.45</v>
      </c>
      <c r="P11" s="166">
        <v>13335334.45</v>
      </c>
      <c r="Q11" s="166"/>
      <c r="R11" s="163"/>
      <c r="S11" s="166">
        <v>50700000</v>
      </c>
    </row>
    <row r="12" ht="20.25" customHeight="true" spans="1:19">
      <c r="A12" s="175" t="s">
        <v>70</v>
      </c>
      <c r="B12" s="175" t="s">
        <v>71</v>
      </c>
      <c r="C12" s="166">
        <v>9197385.25</v>
      </c>
      <c r="D12" s="166">
        <v>8391319.55</v>
      </c>
      <c r="E12" s="169">
        <v>8391319.55</v>
      </c>
      <c r="F12" s="169"/>
      <c r="G12" s="169"/>
      <c r="H12" s="169"/>
      <c r="I12" s="169"/>
      <c r="J12" s="169"/>
      <c r="K12" s="169"/>
      <c r="L12" s="169"/>
      <c r="M12" s="169"/>
      <c r="N12" s="169"/>
      <c r="O12" s="166">
        <v>806065.7</v>
      </c>
      <c r="P12" s="166">
        <v>806065.7</v>
      </c>
      <c r="Q12" s="166"/>
      <c r="R12" s="163"/>
      <c r="S12" s="166"/>
    </row>
    <row r="13" ht="20.25" customHeight="true" spans="1:19">
      <c r="A13" s="175" t="s">
        <v>72</v>
      </c>
      <c r="B13" s="175" t="s">
        <v>73</v>
      </c>
      <c r="C13" s="166">
        <v>51125620.59</v>
      </c>
      <c r="D13" s="166">
        <v>43061979.79</v>
      </c>
      <c r="E13" s="169">
        <v>8461243.79</v>
      </c>
      <c r="F13" s="169"/>
      <c r="G13" s="169"/>
      <c r="H13" s="169"/>
      <c r="I13" s="169">
        <v>34600736</v>
      </c>
      <c r="J13" s="169">
        <v>34600736</v>
      </c>
      <c r="K13" s="169"/>
      <c r="L13" s="169"/>
      <c r="M13" s="169"/>
      <c r="N13" s="169"/>
      <c r="O13" s="166">
        <v>8063640.8</v>
      </c>
      <c r="P13" s="166">
        <v>5520000</v>
      </c>
      <c r="Q13" s="166"/>
      <c r="R13" s="163"/>
      <c r="S13" s="166">
        <v>2543640.8</v>
      </c>
    </row>
    <row r="14" ht="20.25" customHeight="true" spans="1:19">
      <c r="A14" s="175" t="s">
        <v>74</v>
      </c>
      <c r="B14" s="175" t="s">
        <v>75</v>
      </c>
      <c r="C14" s="166">
        <v>1508378282.36</v>
      </c>
      <c r="D14" s="166">
        <v>1480913879.78</v>
      </c>
      <c r="E14" s="169">
        <v>31700000</v>
      </c>
      <c r="F14" s="169"/>
      <c r="G14" s="169"/>
      <c r="H14" s="169"/>
      <c r="I14" s="169">
        <v>1449213879.78</v>
      </c>
      <c r="J14" s="169">
        <v>1449213879.78</v>
      </c>
      <c r="K14" s="169"/>
      <c r="L14" s="169"/>
      <c r="M14" s="169"/>
      <c r="N14" s="169"/>
      <c r="O14" s="166">
        <v>27464402.58</v>
      </c>
      <c r="P14" s="166">
        <v>27464402.58</v>
      </c>
      <c r="Q14" s="166"/>
      <c r="R14" s="163"/>
      <c r="S14" s="166"/>
    </row>
    <row r="15" ht="20.25" customHeight="true" spans="1:19">
      <c r="A15" s="175" t="s">
        <v>76</v>
      </c>
      <c r="B15" s="175" t="s">
        <v>77</v>
      </c>
      <c r="C15" s="166">
        <v>537591534.91</v>
      </c>
      <c r="D15" s="166">
        <v>468367366</v>
      </c>
      <c r="E15" s="169">
        <v>13220000</v>
      </c>
      <c r="F15" s="169"/>
      <c r="G15" s="169"/>
      <c r="H15" s="169"/>
      <c r="I15" s="169">
        <v>455147366</v>
      </c>
      <c r="J15" s="169">
        <v>455147366</v>
      </c>
      <c r="K15" s="169"/>
      <c r="L15" s="169"/>
      <c r="M15" s="169"/>
      <c r="N15" s="169"/>
      <c r="O15" s="166">
        <v>69224168.91</v>
      </c>
      <c r="P15" s="166">
        <v>19224168.91</v>
      </c>
      <c r="Q15" s="166"/>
      <c r="R15" s="163"/>
      <c r="S15" s="166">
        <v>50000000</v>
      </c>
    </row>
    <row r="16" ht="20.25" customHeight="true" spans="1:19">
      <c r="A16" s="175" t="s">
        <v>78</v>
      </c>
      <c r="B16" s="175" t="s">
        <v>79</v>
      </c>
      <c r="C16" s="166">
        <v>156481565.41</v>
      </c>
      <c r="D16" s="166">
        <v>145598127</v>
      </c>
      <c r="E16" s="169">
        <v>10000000</v>
      </c>
      <c r="F16" s="169"/>
      <c r="G16" s="169"/>
      <c r="H16" s="169"/>
      <c r="I16" s="169">
        <v>135598127</v>
      </c>
      <c r="J16" s="169">
        <v>135598127</v>
      </c>
      <c r="K16" s="169"/>
      <c r="L16" s="169"/>
      <c r="M16" s="169"/>
      <c r="N16" s="169"/>
      <c r="O16" s="166">
        <v>10883438.41</v>
      </c>
      <c r="P16" s="166">
        <v>10883438.41</v>
      </c>
      <c r="Q16" s="166"/>
      <c r="R16" s="163"/>
      <c r="S16" s="166"/>
    </row>
    <row r="17" ht="20.25" customHeight="true" spans="1:19">
      <c r="A17" s="175" t="s">
        <v>80</v>
      </c>
      <c r="B17" s="175" t="s">
        <v>81</v>
      </c>
      <c r="C17" s="166">
        <v>24232829.87</v>
      </c>
      <c r="D17" s="166">
        <v>15320377.86</v>
      </c>
      <c r="E17" s="169">
        <v>10578493.86</v>
      </c>
      <c r="F17" s="169"/>
      <c r="G17" s="169"/>
      <c r="H17" s="169"/>
      <c r="I17" s="169">
        <v>4741884</v>
      </c>
      <c r="J17" s="169">
        <v>4736784</v>
      </c>
      <c r="K17" s="169"/>
      <c r="L17" s="169"/>
      <c r="M17" s="169"/>
      <c r="N17" s="169">
        <v>5100</v>
      </c>
      <c r="O17" s="166">
        <v>8912452.01</v>
      </c>
      <c r="P17" s="166">
        <v>8912452.01</v>
      </c>
      <c r="Q17" s="166"/>
      <c r="R17" s="163"/>
      <c r="S17" s="166"/>
    </row>
    <row r="18" ht="20.25" customHeight="true" spans="1:19">
      <c r="A18" s="175" t="s">
        <v>82</v>
      </c>
      <c r="B18" s="175" t="s">
        <v>83</v>
      </c>
      <c r="C18" s="166">
        <v>151446023.78</v>
      </c>
      <c r="D18" s="166">
        <v>140202448.07</v>
      </c>
      <c r="E18" s="169">
        <v>1600000</v>
      </c>
      <c r="F18" s="169"/>
      <c r="G18" s="169"/>
      <c r="H18" s="169"/>
      <c r="I18" s="169">
        <v>138602448.07</v>
      </c>
      <c r="J18" s="169">
        <v>138602448.07</v>
      </c>
      <c r="K18" s="169"/>
      <c r="L18" s="169"/>
      <c r="M18" s="169"/>
      <c r="N18" s="169"/>
      <c r="O18" s="166">
        <v>11243575.71</v>
      </c>
      <c r="P18" s="166">
        <v>11243575.71</v>
      </c>
      <c r="Q18" s="166"/>
      <c r="R18" s="163"/>
      <c r="S18" s="166"/>
    </row>
    <row r="19" ht="20.25" customHeight="true" spans="1:19">
      <c r="A19" s="175" t="s">
        <v>84</v>
      </c>
      <c r="B19" s="175" t="s">
        <v>85</v>
      </c>
      <c r="C19" s="166">
        <v>228477242</v>
      </c>
      <c r="D19" s="166">
        <v>227910842</v>
      </c>
      <c r="E19" s="169">
        <v>24670000</v>
      </c>
      <c r="F19" s="169"/>
      <c r="G19" s="169"/>
      <c r="H19" s="169"/>
      <c r="I19" s="169">
        <v>203240842</v>
      </c>
      <c r="J19" s="169">
        <v>203240842</v>
      </c>
      <c r="K19" s="169"/>
      <c r="L19" s="169"/>
      <c r="M19" s="169"/>
      <c r="N19" s="169"/>
      <c r="O19" s="166">
        <v>566400</v>
      </c>
      <c r="P19" s="166">
        <v>566400</v>
      </c>
      <c r="Q19" s="166"/>
      <c r="R19" s="163"/>
      <c r="S19" s="166"/>
    </row>
    <row r="20" ht="20.25" customHeight="true" spans="1:19">
      <c r="A20" s="161" t="s">
        <v>30</v>
      </c>
      <c r="B20" s="163"/>
      <c r="C20" s="166">
        <v>3156851071.51</v>
      </c>
      <c r="D20" s="166">
        <v>2935815887.68</v>
      </c>
      <c r="E20" s="166">
        <v>453010604.83</v>
      </c>
      <c r="F20" s="166"/>
      <c r="G20" s="166"/>
      <c r="H20" s="166"/>
      <c r="I20" s="166">
        <v>2482805282.85</v>
      </c>
      <c r="J20" s="166">
        <v>2482800182.85</v>
      </c>
      <c r="K20" s="166"/>
      <c r="L20" s="166"/>
      <c r="M20" s="166"/>
      <c r="N20" s="166">
        <v>5100</v>
      </c>
      <c r="O20" s="166">
        <v>221035183.83</v>
      </c>
      <c r="P20" s="166">
        <v>116558016.84</v>
      </c>
      <c r="Q20" s="166"/>
      <c r="R20" s="166"/>
      <c r="S20" s="166">
        <v>104477166.99</v>
      </c>
    </row>
  </sheetData>
  <mergeCells count="20">
    <mergeCell ref="A1:S1"/>
    <mergeCell ref="A2:S2"/>
    <mergeCell ref="A3:R3"/>
    <mergeCell ref="D4:N4"/>
    <mergeCell ref="O4:S4"/>
    <mergeCell ref="I5:N5"/>
    <mergeCell ref="A20:B2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79"/>
  <sheetViews>
    <sheetView showZeros="0" tabSelected="1" topLeftCell="B1" workbookViewId="0">
      <selection activeCell="C27" sqref="C27"/>
    </sheetView>
  </sheetViews>
  <sheetFormatPr defaultColWidth="8.85" defaultRowHeight="15" customHeight="true"/>
  <cols>
    <col min="1" max="1" width="17.8416666666667" customWidth="true"/>
    <col min="2" max="2" width="45.625" customWidth="true"/>
    <col min="3" max="15" width="15.1333333333333" customWidth="true"/>
  </cols>
  <sheetData>
    <row r="1" customHeight="true" spans="1:15">
      <c r="A1" s="174" t="s">
        <v>86</v>
      </c>
      <c r="B1" s="174"/>
      <c r="C1" s="174"/>
      <c r="D1" s="174"/>
      <c r="E1" s="174"/>
      <c r="F1" s="174"/>
      <c r="G1" s="174"/>
      <c r="H1" s="174"/>
      <c r="I1" s="174"/>
      <c r="J1" s="174"/>
      <c r="K1" s="174"/>
      <c r="L1" s="174"/>
      <c r="M1" s="174"/>
      <c r="N1" s="174"/>
      <c r="O1" s="174"/>
    </row>
    <row r="2" ht="28.5" customHeight="true" spans="1:15">
      <c r="A2" s="57" t="s">
        <v>87</v>
      </c>
      <c r="B2" s="57"/>
      <c r="C2" s="57"/>
      <c r="D2" s="57"/>
      <c r="E2" s="57"/>
      <c r="F2" s="57"/>
      <c r="G2" s="57"/>
      <c r="H2" s="57"/>
      <c r="I2" s="57"/>
      <c r="J2" s="57"/>
      <c r="K2" s="57"/>
      <c r="L2" s="57"/>
      <c r="M2" s="57"/>
      <c r="N2" s="57"/>
      <c r="O2" s="57"/>
    </row>
    <row r="3" ht="20.25" customHeight="true" spans="1:15">
      <c r="A3" s="58" t="str">
        <f>"单位名称："&amp;"玉溪市卫生健康委员会"</f>
        <v>单位名称：玉溪市卫生健康委员会</v>
      </c>
      <c r="B3" s="58"/>
      <c r="C3" s="58"/>
      <c r="D3" s="58"/>
      <c r="E3" s="58"/>
      <c r="F3" s="58"/>
      <c r="G3" s="58"/>
      <c r="H3" s="58"/>
      <c r="I3" s="58"/>
      <c r="J3" s="56"/>
      <c r="K3" s="56"/>
      <c r="L3" s="56"/>
      <c r="M3" s="56"/>
      <c r="N3" s="56"/>
      <c r="O3" s="56" t="s">
        <v>2</v>
      </c>
    </row>
    <row r="4" ht="27" customHeight="true" spans="1:15">
      <c r="A4" s="160" t="s">
        <v>88</v>
      </c>
      <c r="B4" s="160" t="s">
        <v>89</v>
      </c>
      <c r="C4" s="160" t="s">
        <v>30</v>
      </c>
      <c r="D4" s="160" t="s">
        <v>33</v>
      </c>
      <c r="E4" s="160"/>
      <c r="F4" s="160"/>
      <c r="G4" s="160" t="s">
        <v>34</v>
      </c>
      <c r="H4" s="160" t="s">
        <v>35</v>
      </c>
      <c r="I4" s="160" t="s">
        <v>90</v>
      </c>
      <c r="J4" s="160" t="s">
        <v>91</v>
      </c>
      <c r="K4" s="160"/>
      <c r="L4" s="160"/>
      <c r="M4" s="160"/>
      <c r="N4" s="160"/>
      <c r="O4" s="160"/>
    </row>
    <row r="5" ht="27" customHeight="true" spans="1:15">
      <c r="A5" s="160"/>
      <c r="B5" s="160"/>
      <c r="C5" s="160"/>
      <c r="D5" s="160" t="s">
        <v>32</v>
      </c>
      <c r="E5" s="160" t="s">
        <v>92</v>
      </c>
      <c r="F5" s="160" t="s">
        <v>93</v>
      </c>
      <c r="G5" s="160"/>
      <c r="H5" s="160"/>
      <c r="I5" s="160"/>
      <c r="J5" s="160" t="s">
        <v>32</v>
      </c>
      <c r="K5" s="160" t="s">
        <v>94</v>
      </c>
      <c r="L5" s="160" t="s">
        <v>95</v>
      </c>
      <c r="M5" s="160" t="s">
        <v>96</v>
      </c>
      <c r="N5" s="160" t="s">
        <v>97</v>
      </c>
      <c r="O5" s="160" t="s">
        <v>98</v>
      </c>
    </row>
    <row r="6" ht="20.25" customHeight="true" spans="1:15">
      <c r="A6" s="173" t="s">
        <v>44</v>
      </c>
      <c r="B6" s="173" t="s">
        <v>45</v>
      </c>
      <c r="C6" s="173" t="s">
        <v>46</v>
      </c>
      <c r="D6" s="173" t="s">
        <v>47</v>
      </c>
      <c r="E6" s="173" t="s">
        <v>48</v>
      </c>
      <c r="F6" s="173" t="s">
        <v>49</v>
      </c>
      <c r="G6" s="173" t="s">
        <v>50</v>
      </c>
      <c r="H6" s="173" t="s">
        <v>51</v>
      </c>
      <c r="I6" s="173" t="s">
        <v>52</v>
      </c>
      <c r="J6" s="173" t="s">
        <v>53</v>
      </c>
      <c r="K6" s="173" t="s">
        <v>54</v>
      </c>
      <c r="L6" s="173" t="s">
        <v>55</v>
      </c>
      <c r="M6" s="173" t="s">
        <v>56</v>
      </c>
      <c r="N6" s="173" t="s">
        <v>57</v>
      </c>
      <c r="O6" s="173" t="s">
        <v>58</v>
      </c>
    </row>
    <row r="7" ht="20.25" customHeight="true" spans="1:15">
      <c r="A7" s="163" t="s">
        <v>99</v>
      </c>
      <c r="B7" s="163" t="str">
        <f>"        "&amp;"一般公共服务支出"</f>
        <v>        一般公共服务支出</v>
      </c>
      <c r="C7" s="169">
        <v>882232</v>
      </c>
      <c r="D7" s="169">
        <v>882232</v>
      </c>
      <c r="E7" s="169"/>
      <c r="F7" s="169">
        <v>882232</v>
      </c>
      <c r="G7" s="169"/>
      <c r="H7" s="169"/>
      <c r="I7" s="169"/>
      <c r="J7" s="169"/>
      <c r="K7" s="169"/>
      <c r="L7" s="169"/>
      <c r="M7" s="169"/>
      <c r="N7" s="169"/>
      <c r="O7" s="169"/>
    </row>
    <row r="8" ht="20.25" customHeight="true" spans="1:15">
      <c r="A8" s="175" t="s">
        <v>100</v>
      </c>
      <c r="B8" s="175" t="str">
        <f>"        "&amp;"组织事务"</f>
        <v>        组织事务</v>
      </c>
      <c r="C8" s="169">
        <v>680000</v>
      </c>
      <c r="D8" s="169">
        <v>680000</v>
      </c>
      <c r="E8" s="169"/>
      <c r="F8" s="169">
        <v>680000</v>
      </c>
      <c r="G8" s="169"/>
      <c r="H8" s="169"/>
      <c r="I8" s="169"/>
      <c r="J8" s="169"/>
      <c r="K8" s="169"/>
      <c r="L8" s="169"/>
      <c r="M8" s="169"/>
      <c r="N8" s="169"/>
      <c r="O8" s="169"/>
    </row>
    <row r="9" ht="20.25" customHeight="true" spans="1:15">
      <c r="A9" s="193" t="s">
        <v>101</v>
      </c>
      <c r="B9" s="193" t="str">
        <f>"        "&amp;"一般行政管理事务"</f>
        <v>        一般行政管理事务</v>
      </c>
      <c r="C9" s="170">
        <v>680000</v>
      </c>
      <c r="D9" s="170">
        <v>680000</v>
      </c>
      <c r="E9" s="170"/>
      <c r="F9" s="170">
        <v>680000</v>
      </c>
      <c r="G9" s="170"/>
      <c r="H9" s="170"/>
      <c r="I9" s="170"/>
      <c r="J9" s="170"/>
      <c r="K9" s="170"/>
      <c r="L9" s="170"/>
      <c r="M9" s="170"/>
      <c r="N9" s="170"/>
      <c r="O9" s="170"/>
    </row>
    <row r="10" ht="20.25" customHeight="true" spans="1:15">
      <c r="A10" s="171" t="s">
        <v>102</v>
      </c>
      <c r="B10" s="171" t="str">
        <f>"        "&amp;"市场监督管理事务"</f>
        <v>        市场监督管理事务</v>
      </c>
      <c r="C10" s="65">
        <v>152232</v>
      </c>
      <c r="D10" s="65">
        <v>152232</v>
      </c>
      <c r="E10" s="65"/>
      <c r="F10" s="65">
        <v>152232</v>
      </c>
      <c r="G10" s="65"/>
      <c r="H10" s="65"/>
      <c r="I10" s="65"/>
      <c r="J10" s="65"/>
      <c r="K10" s="65"/>
      <c r="L10" s="65"/>
      <c r="M10" s="65"/>
      <c r="N10" s="65"/>
      <c r="O10" s="65"/>
    </row>
    <row r="11" ht="20.25" customHeight="true" spans="1:15">
      <c r="A11" s="178" t="s">
        <v>103</v>
      </c>
      <c r="B11" s="178" t="str">
        <f>"        "&amp;"食品安全监管"</f>
        <v>        食品安全监管</v>
      </c>
      <c r="C11" s="65">
        <v>152232</v>
      </c>
      <c r="D11" s="65">
        <v>152232</v>
      </c>
      <c r="E11" s="65"/>
      <c r="F11" s="65">
        <v>152232</v>
      </c>
      <c r="G11" s="65"/>
      <c r="H11" s="65"/>
      <c r="I11" s="65"/>
      <c r="J11" s="65"/>
      <c r="K11" s="65"/>
      <c r="L11" s="65"/>
      <c r="M11" s="65"/>
      <c r="N11" s="65"/>
      <c r="O11" s="65"/>
    </row>
    <row r="12" ht="20.25" customHeight="true" spans="1:15">
      <c r="A12" s="171" t="s">
        <v>104</v>
      </c>
      <c r="B12" s="171" t="str">
        <f>"        "&amp;"其他一般公共服务支出"</f>
        <v>        其他一般公共服务支出</v>
      </c>
      <c r="C12" s="65">
        <v>50000</v>
      </c>
      <c r="D12" s="65">
        <v>50000</v>
      </c>
      <c r="E12" s="65"/>
      <c r="F12" s="65">
        <v>50000</v>
      </c>
      <c r="G12" s="65"/>
      <c r="H12" s="65"/>
      <c r="I12" s="65"/>
      <c r="J12" s="65"/>
      <c r="K12" s="65"/>
      <c r="L12" s="65"/>
      <c r="M12" s="65"/>
      <c r="N12" s="65"/>
      <c r="O12" s="65"/>
    </row>
    <row r="13" ht="20.25" customHeight="true" spans="1:15">
      <c r="A13" s="178" t="s">
        <v>105</v>
      </c>
      <c r="B13" s="178" t="str">
        <f>"        "&amp;"其他一般公共服务支出"</f>
        <v>        其他一般公共服务支出</v>
      </c>
      <c r="C13" s="65">
        <v>50000</v>
      </c>
      <c r="D13" s="65">
        <v>50000</v>
      </c>
      <c r="E13" s="65"/>
      <c r="F13" s="65">
        <v>50000</v>
      </c>
      <c r="G13" s="65"/>
      <c r="H13" s="65"/>
      <c r="I13" s="65"/>
      <c r="J13" s="65"/>
      <c r="K13" s="65"/>
      <c r="L13" s="65"/>
      <c r="M13" s="65"/>
      <c r="N13" s="65"/>
      <c r="O13" s="65"/>
    </row>
    <row r="14" ht="20.25" customHeight="true" spans="1:15">
      <c r="A14" s="165" t="s">
        <v>106</v>
      </c>
      <c r="B14" s="165" t="str">
        <f>"        "&amp;"科学技术支出"</f>
        <v>        科学技术支出</v>
      </c>
      <c r="C14" s="65">
        <v>3616144.7</v>
      </c>
      <c r="D14" s="65">
        <v>3616144.7</v>
      </c>
      <c r="E14" s="65"/>
      <c r="F14" s="65">
        <v>3616144.7</v>
      </c>
      <c r="G14" s="65"/>
      <c r="H14" s="65"/>
      <c r="I14" s="65"/>
      <c r="J14" s="65"/>
      <c r="K14" s="65"/>
      <c r="L14" s="65"/>
      <c r="M14" s="65"/>
      <c r="N14" s="65"/>
      <c r="O14" s="65"/>
    </row>
    <row r="15" ht="20.25" customHeight="true" spans="1:15">
      <c r="A15" s="171" t="s">
        <v>107</v>
      </c>
      <c r="B15" s="171" t="str">
        <f>"        "&amp;"科学技术普及"</f>
        <v>        科学技术普及</v>
      </c>
      <c r="C15" s="65">
        <v>96144.7</v>
      </c>
      <c r="D15" s="65">
        <v>96144.7</v>
      </c>
      <c r="E15" s="65"/>
      <c r="F15" s="65">
        <v>96144.7</v>
      </c>
      <c r="G15" s="65"/>
      <c r="H15" s="65"/>
      <c r="I15" s="65"/>
      <c r="J15" s="65"/>
      <c r="K15" s="65"/>
      <c r="L15" s="65"/>
      <c r="M15" s="65"/>
      <c r="N15" s="65"/>
      <c r="O15" s="65"/>
    </row>
    <row r="16" ht="20.25" customHeight="true" spans="1:15">
      <c r="A16" s="178" t="s">
        <v>108</v>
      </c>
      <c r="B16" s="178" t="str">
        <f>"        "&amp;"科普活动"</f>
        <v>        科普活动</v>
      </c>
      <c r="C16" s="65">
        <v>96144.7</v>
      </c>
      <c r="D16" s="65">
        <v>96144.7</v>
      </c>
      <c r="E16" s="65"/>
      <c r="F16" s="65">
        <v>96144.7</v>
      </c>
      <c r="G16" s="65"/>
      <c r="H16" s="65"/>
      <c r="I16" s="65"/>
      <c r="J16" s="65"/>
      <c r="K16" s="65"/>
      <c r="L16" s="65"/>
      <c r="M16" s="65"/>
      <c r="N16" s="65"/>
      <c r="O16" s="65"/>
    </row>
    <row r="17" ht="20.25" customHeight="true" spans="1:15">
      <c r="A17" s="171" t="s">
        <v>109</v>
      </c>
      <c r="B17" s="171" t="str">
        <f>"        "&amp;"其他科学技术支出"</f>
        <v>        其他科学技术支出</v>
      </c>
      <c r="C17" s="65">
        <v>3520000</v>
      </c>
      <c r="D17" s="65">
        <v>3520000</v>
      </c>
      <c r="E17" s="65"/>
      <c r="F17" s="65">
        <v>3520000</v>
      </c>
      <c r="G17" s="65"/>
      <c r="H17" s="65"/>
      <c r="I17" s="65"/>
      <c r="J17" s="65"/>
      <c r="K17" s="65"/>
      <c r="L17" s="65"/>
      <c r="M17" s="65"/>
      <c r="N17" s="65"/>
      <c r="O17" s="65"/>
    </row>
    <row r="18" ht="20.25" customHeight="true" spans="1:15">
      <c r="A18" s="178" t="s">
        <v>110</v>
      </c>
      <c r="B18" s="178" t="str">
        <f>"        "&amp;"其他科学技术支出"</f>
        <v>        其他科学技术支出</v>
      </c>
      <c r="C18" s="65">
        <v>3520000</v>
      </c>
      <c r="D18" s="65">
        <v>3520000</v>
      </c>
      <c r="E18" s="65"/>
      <c r="F18" s="65">
        <v>3520000</v>
      </c>
      <c r="G18" s="65"/>
      <c r="H18" s="65"/>
      <c r="I18" s="65"/>
      <c r="J18" s="65"/>
      <c r="K18" s="65"/>
      <c r="L18" s="65"/>
      <c r="M18" s="65"/>
      <c r="N18" s="65"/>
      <c r="O18" s="65"/>
    </row>
    <row r="19" ht="20.25" customHeight="true" spans="1:15">
      <c r="A19" s="165" t="s">
        <v>111</v>
      </c>
      <c r="B19" s="165" t="str">
        <f>"        "&amp;"社会保障和就业支出"</f>
        <v>        社会保障和就业支出</v>
      </c>
      <c r="C19" s="65">
        <v>104188986.59</v>
      </c>
      <c r="D19" s="65">
        <v>65715462.39</v>
      </c>
      <c r="E19" s="65">
        <v>65715462.39</v>
      </c>
      <c r="F19" s="65"/>
      <c r="G19" s="65"/>
      <c r="H19" s="65"/>
      <c r="I19" s="65"/>
      <c r="J19" s="65">
        <v>38473524.2</v>
      </c>
      <c r="K19" s="65">
        <v>38473524.2</v>
      </c>
      <c r="L19" s="65"/>
      <c r="M19" s="65"/>
      <c r="N19" s="65"/>
      <c r="O19" s="65"/>
    </row>
    <row r="20" ht="20.25" customHeight="true" spans="1:15">
      <c r="A20" s="171" t="s">
        <v>112</v>
      </c>
      <c r="B20" s="171" t="str">
        <f>"        "&amp;"行政事业单位养老支出"</f>
        <v>        行政事业单位养老支出</v>
      </c>
      <c r="C20" s="65">
        <v>101281236.59</v>
      </c>
      <c r="D20" s="65">
        <v>65515662.39</v>
      </c>
      <c r="E20" s="65">
        <v>65515662.39</v>
      </c>
      <c r="F20" s="65"/>
      <c r="G20" s="65"/>
      <c r="H20" s="65"/>
      <c r="I20" s="65"/>
      <c r="J20" s="65">
        <v>35765574.2</v>
      </c>
      <c r="K20" s="65">
        <v>35765574.2</v>
      </c>
      <c r="L20" s="65"/>
      <c r="M20" s="65"/>
      <c r="N20" s="65"/>
      <c r="O20" s="65"/>
    </row>
    <row r="21" ht="20.25" customHeight="true" spans="1:15">
      <c r="A21" s="178" t="s">
        <v>113</v>
      </c>
      <c r="B21" s="178" t="str">
        <f>"        "&amp;"行政单位离退休"</f>
        <v>        行政单位离退休</v>
      </c>
      <c r="C21" s="65">
        <v>2646152</v>
      </c>
      <c r="D21" s="65">
        <v>2646152</v>
      </c>
      <c r="E21" s="65">
        <v>2646152</v>
      </c>
      <c r="F21" s="65"/>
      <c r="G21" s="65"/>
      <c r="H21" s="65"/>
      <c r="I21" s="65"/>
      <c r="J21" s="65"/>
      <c r="K21" s="65"/>
      <c r="L21" s="65"/>
      <c r="M21" s="65"/>
      <c r="N21" s="65"/>
      <c r="O21" s="65"/>
    </row>
    <row r="22" ht="20.25" customHeight="true" spans="1:15">
      <c r="A22" s="178" t="s">
        <v>114</v>
      </c>
      <c r="B22" s="178" t="str">
        <f>"        "&amp;"事业单位离退休"</f>
        <v>        事业单位离退休</v>
      </c>
      <c r="C22" s="65">
        <v>34658200</v>
      </c>
      <c r="D22" s="65">
        <v>34279200</v>
      </c>
      <c r="E22" s="65">
        <v>34279200</v>
      </c>
      <c r="F22" s="65"/>
      <c r="G22" s="65"/>
      <c r="H22" s="65"/>
      <c r="I22" s="65"/>
      <c r="J22" s="65">
        <v>379000</v>
      </c>
      <c r="K22" s="65">
        <v>379000</v>
      </c>
      <c r="L22" s="65"/>
      <c r="M22" s="65"/>
      <c r="N22" s="65"/>
      <c r="O22" s="65"/>
    </row>
    <row r="23" ht="20.25" customHeight="true" spans="1:15">
      <c r="A23" s="178" t="s">
        <v>115</v>
      </c>
      <c r="B23" s="178" t="str">
        <f>"        "&amp;"机关事业单位基本养老保险缴费支出"</f>
        <v>        机关事业单位基本养老保险缴费支出</v>
      </c>
      <c r="C23" s="65">
        <v>44398778.32</v>
      </c>
      <c r="D23" s="65">
        <v>25704760.64</v>
      </c>
      <c r="E23" s="65">
        <v>25704760.64</v>
      </c>
      <c r="F23" s="65"/>
      <c r="G23" s="65"/>
      <c r="H23" s="65"/>
      <c r="I23" s="65"/>
      <c r="J23" s="65">
        <v>18694017.68</v>
      </c>
      <c r="K23" s="65">
        <v>18694017.68</v>
      </c>
      <c r="L23" s="65"/>
      <c r="M23" s="65"/>
      <c r="N23" s="65"/>
      <c r="O23" s="65"/>
    </row>
    <row r="24" ht="20.25" customHeight="true" spans="1:15">
      <c r="A24" s="178" t="s">
        <v>116</v>
      </c>
      <c r="B24" s="178" t="str">
        <f>"        "&amp;"机关事业单位职业年金缴费支出"</f>
        <v>        机关事业单位职业年金缴费支出</v>
      </c>
      <c r="C24" s="65">
        <v>19578106.27</v>
      </c>
      <c r="D24" s="65">
        <v>2885549.75</v>
      </c>
      <c r="E24" s="65">
        <v>2885549.75</v>
      </c>
      <c r="F24" s="65"/>
      <c r="G24" s="65"/>
      <c r="H24" s="65"/>
      <c r="I24" s="65"/>
      <c r="J24" s="65">
        <v>16692556.52</v>
      </c>
      <c r="K24" s="65">
        <v>16692556.52</v>
      </c>
      <c r="L24" s="65"/>
      <c r="M24" s="65"/>
      <c r="N24" s="65"/>
      <c r="O24" s="65"/>
    </row>
    <row r="25" ht="20.25" customHeight="true" spans="1:15">
      <c r="A25" s="171" t="s">
        <v>117</v>
      </c>
      <c r="B25" s="171" t="str">
        <f>"        "&amp;"抚恤"</f>
        <v>        抚恤</v>
      </c>
      <c r="C25" s="65">
        <v>459800</v>
      </c>
      <c r="D25" s="65">
        <v>199800</v>
      </c>
      <c r="E25" s="65">
        <v>199800</v>
      </c>
      <c r="F25" s="65"/>
      <c r="G25" s="65"/>
      <c r="H25" s="65"/>
      <c r="I25" s="65"/>
      <c r="J25" s="65">
        <v>260000</v>
      </c>
      <c r="K25" s="65">
        <v>260000</v>
      </c>
      <c r="L25" s="65"/>
      <c r="M25" s="65"/>
      <c r="N25" s="65"/>
      <c r="O25" s="65"/>
    </row>
    <row r="26" ht="20.25" customHeight="true" spans="1:15">
      <c r="A26" s="178" t="s">
        <v>118</v>
      </c>
      <c r="B26" s="178" t="str">
        <f>"        "&amp;"死亡抚恤"</f>
        <v>        死亡抚恤</v>
      </c>
      <c r="C26" s="65">
        <v>459800</v>
      </c>
      <c r="D26" s="65">
        <v>199800</v>
      </c>
      <c r="E26" s="65">
        <v>199800</v>
      </c>
      <c r="F26" s="65"/>
      <c r="G26" s="65"/>
      <c r="H26" s="65"/>
      <c r="I26" s="65"/>
      <c r="J26" s="65">
        <v>260000</v>
      </c>
      <c r="K26" s="65">
        <v>260000</v>
      </c>
      <c r="L26" s="65"/>
      <c r="M26" s="65"/>
      <c r="N26" s="65"/>
      <c r="O26" s="65"/>
    </row>
    <row r="27" ht="20.25" customHeight="true" spans="1:15">
      <c r="A27" s="171" t="s">
        <v>119</v>
      </c>
      <c r="B27" s="171" t="str">
        <f>"        "&amp;"其他社会保障和就业支出"</f>
        <v>        其他社会保障和就业支出</v>
      </c>
      <c r="C27" s="65">
        <v>2447950</v>
      </c>
      <c r="D27" s="65"/>
      <c r="E27" s="65"/>
      <c r="F27" s="65"/>
      <c r="G27" s="65"/>
      <c r="H27" s="65"/>
      <c r="I27" s="65"/>
      <c r="J27" s="65">
        <v>2447950</v>
      </c>
      <c r="K27" s="65">
        <v>2447950</v>
      </c>
      <c r="L27" s="65"/>
      <c r="M27" s="65"/>
      <c r="N27" s="65"/>
      <c r="O27" s="65"/>
    </row>
    <row r="28" ht="20.25" customHeight="true" spans="1:15">
      <c r="A28" s="178" t="s">
        <v>120</v>
      </c>
      <c r="B28" s="178" t="str">
        <f>"        "&amp;"其他社会保障和就业支出"</f>
        <v>        其他社会保障和就业支出</v>
      </c>
      <c r="C28" s="65">
        <v>2447950</v>
      </c>
      <c r="D28" s="65"/>
      <c r="E28" s="65"/>
      <c r="F28" s="65"/>
      <c r="G28" s="65"/>
      <c r="H28" s="65"/>
      <c r="I28" s="65"/>
      <c r="J28" s="65">
        <v>2447950</v>
      </c>
      <c r="K28" s="65">
        <v>2447950</v>
      </c>
      <c r="L28" s="65"/>
      <c r="M28" s="65"/>
      <c r="N28" s="65"/>
      <c r="O28" s="65"/>
    </row>
    <row r="29" ht="20.25" customHeight="true" spans="1:15">
      <c r="A29" s="165" t="s">
        <v>121</v>
      </c>
      <c r="B29" s="165" t="str">
        <f>"        "&amp;"卫生健康支出"</f>
        <v>        卫生健康支出</v>
      </c>
      <c r="C29" s="65">
        <v>2533631922.22</v>
      </c>
      <c r="D29" s="65">
        <v>240462530.58</v>
      </c>
      <c r="E29" s="65">
        <v>91486021.94</v>
      </c>
      <c r="F29" s="65">
        <v>148976508.64</v>
      </c>
      <c r="G29" s="65"/>
      <c r="H29" s="65"/>
      <c r="I29" s="65"/>
      <c r="J29" s="65">
        <v>2293169391.64</v>
      </c>
      <c r="K29" s="65">
        <v>2293164291.64</v>
      </c>
      <c r="L29" s="65"/>
      <c r="M29" s="65"/>
      <c r="N29" s="65"/>
      <c r="O29" s="65">
        <v>5100</v>
      </c>
    </row>
    <row r="30" ht="20.25" customHeight="true" spans="1:15">
      <c r="A30" s="171" t="s">
        <v>122</v>
      </c>
      <c r="B30" s="171" t="str">
        <f>"        "&amp;"卫生健康管理事务"</f>
        <v>        卫生健康管理事务</v>
      </c>
      <c r="C30" s="65">
        <v>40280005.89</v>
      </c>
      <c r="D30" s="65">
        <v>40280005.89</v>
      </c>
      <c r="E30" s="65">
        <v>9215899.3</v>
      </c>
      <c r="F30" s="65">
        <v>31064106.59</v>
      </c>
      <c r="G30" s="65"/>
      <c r="H30" s="65"/>
      <c r="I30" s="65"/>
      <c r="J30" s="65"/>
      <c r="K30" s="65"/>
      <c r="L30" s="65"/>
      <c r="M30" s="65"/>
      <c r="N30" s="65"/>
      <c r="O30" s="65"/>
    </row>
    <row r="31" ht="20.25" customHeight="true" spans="1:15">
      <c r="A31" s="178" t="s">
        <v>123</v>
      </c>
      <c r="B31" s="178" t="str">
        <f>"        "&amp;"行政运行"</f>
        <v>        行政运行</v>
      </c>
      <c r="C31" s="65">
        <v>7120586.8</v>
      </c>
      <c r="D31" s="65">
        <v>7120586.8</v>
      </c>
      <c r="E31" s="65">
        <v>7120586.8</v>
      </c>
      <c r="F31" s="65"/>
      <c r="G31" s="65"/>
      <c r="H31" s="65"/>
      <c r="I31" s="65"/>
      <c r="J31" s="65"/>
      <c r="K31" s="65"/>
      <c r="L31" s="65"/>
      <c r="M31" s="65"/>
      <c r="N31" s="65"/>
      <c r="O31" s="65"/>
    </row>
    <row r="32" ht="20.25" customHeight="true" spans="1:15">
      <c r="A32" s="178" t="s">
        <v>124</v>
      </c>
      <c r="B32" s="178" t="str">
        <f>"        "&amp;"一般行政管理事务"</f>
        <v>        一般行政管理事务</v>
      </c>
      <c r="C32" s="65">
        <v>1249243.47</v>
      </c>
      <c r="D32" s="65">
        <v>1249243.47</v>
      </c>
      <c r="E32" s="65">
        <v>1106743.47</v>
      </c>
      <c r="F32" s="65">
        <v>142500</v>
      </c>
      <c r="G32" s="65"/>
      <c r="H32" s="65"/>
      <c r="I32" s="65"/>
      <c r="J32" s="65"/>
      <c r="K32" s="65"/>
      <c r="L32" s="65"/>
      <c r="M32" s="65"/>
      <c r="N32" s="65"/>
      <c r="O32" s="65"/>
    </row>
    <row r="33" ht="20.25" customHeight="true" spans="1:15">
      <c r="A33" s="178" t="s">
        <v>125</v>
      </c>
      <c r="B33" s="178" t="str">
        <f>"        "&amp;"机关服务"</f>
        <v>        机关服务</v>
      </c>
      <c r="C33" s="65">
        <v>988569.03</v>
      </c>
      <c r="D33" s="65">
        <v>988569.03</v>
      </c>
      <c r="E33" s="65">
        <v>988569.03</v>
      </c>
      <c r="F33" s="65"/>
      <c r="G33" s="65"/>
      <c r="H33" s="65"/>
      <c r="I33" s="65"/>
      <c r="J33" s="65"/>
      <c r="K33" s="65"/>
      <c r="L33" s="65"/>
      <c r="M33" s="65"/>
      <c r="N33" s="65"/>
      <c r="O33" s="65"/>
    </row>
    <row r="34" ht="20.25" customHeight="true" spans="1:15">
      <c r="A34" s="178" t="s">
        <v>126</v>
      </c>
      <c r="B34" s="178" t="str">
        <f>"        "&amp;"其他卫生健康管理事务支出"</f>
        <v>        其他卫生健康管理事务支出</v>
      </c>
      <c r="C34" s="65">
        <v>30921606.59</v>
      </c>
      <c r="D34" s="65">
        <v>30921606.59</v>
      </c>
      <c r="E34" s="65"/>
      <c r="F34" s="65">
        <v>30921606.59</v>
      </c>
      <c r="G34" s="65"/>
      <c r="H34" s="65"/>
      <c r="I34" s="65"/>
      <c r="J34" s="65"/>
      <c r="K34" s="65"/>
      <c r="L34" s="65"/>
      <c r="M34" s="65"/>
      <c r="N34" s="65"/>
      <c r="O34" s="65"/>
    </row>
    <row r="35" ht="20.25" customHeight="true" spans="1:15">
      <c r="A35" s="171" t="s">
        <v>127</v>
      </c>
      <c r="B35" s="171" t="str">
        <f>"        "&amp;"公立医院"</f>
        <v>        公立医院</v>
      </c>
      <c r="C35" s="65">
        <v>2164979323.5</v>
      </c>
      <c r="D35" s="65">
        <v>47012221.04</v>
      </c>
      <c r="E35" s="65">
        <v>12849966.49</v>
      </c>
      <c r="F35" s="65">
        <v>34162254.55</v>
      </c>
      <c r="G35" s="65"/>
      <c r="H35" s="65"/>
      <c r="I35" s="65"/>
      <c r="J35" s="65">
        <v>2117967102.46</v>
      </c>
      <c r="K35" s="65">
        <v>2117967102.46</v>
      </c>
      <c r="L35" s="65"/>
      <c r="M35" s="65"/>
      <c r="N35" s="65"/>
      <c r="O35" s="65"/>
    </row>
    <row r="36" ht="20.25" customHeight="true" spans="1:15">
      <c r="A36" s="178" t="s">
        <v>128</v>
      </c>
      <c r="B36" s="178" t="str">
        <f>"        "&amp;"综合医院"</f>
        <v>        综合医院</v>
      </c>
      <c r="C36" s="65">
        <v>1404738601.88</v>
      </c>
      <c r="D36" s="65">
        <v>11183416.49</v>
      </c>
      <c r="E36" s="65">
        <v>9001366.49</v>
      </c>
      <c r="F36" s="65">
        <v>2182050</v>
      </c>
      <c r="G36" s="65"/>
      <c r="H36" s="65"/>
      <c r="I36" s="65"/>
      <c r="J36" s="65">
        <v>1393555185.39</v>
      </c>
      <c r="K36" s="65">
        <v>1393555185.39</v>
      </c>
      <c r="L36" s="65"/>
      <c r="M36" s="65"/>
      <c r="N36" s="65"/>
      <c r="O36" s="65"/>
    </row>
    <row r="37" ht="20.25" customHeight="true" spans="1:15">
      <c r="A37" s="178" t="s">
        <v>129</v>
      </c>
      <c r="B37" s="178" t="str">
        <f>"        "&amp;"中医（民族）医院"</f>
        <v>        中医（民族）医院</v>
      </c>
      <c r="C37" s="65">
        <v>473999626</v>
      </c>
      <c r="D37" s="65">
        <v>346260</v>
      </c>
      <c r="E37" s="65"/>
      <c r="F37" s="65">
        <v>346260</v>
      </c>
      <c r="G37" s="65"/>
      <c r="H37" s="65"/>
      <c r="I37" s="65"/>
      <c r="J37" s="65">
        <v>473653366</v>
      </c>
      <c r="K37" s="65">
        <v>473653366</v>
      </c>
      <c r="L37" s="65"/>
      <c r="M37" s="65"/>
      <c r="N37" s="65"/>
      <c r="O37" s="65"/>
    </row>
    <row r="38" ht="20.25" customHeight="true" spans="1:15">
      <c r="A38" s="178" t="s">
        <v>130</v>
      </c>
      <c r="B38" s="178" t="str">
        <f>"        "&amp;"精神病医院"</f>
        <v>        精神病医院</v>
      </c>
      <c r="C38" s="65">
        <v>139406217</v>
      </c>
      <c r="D38" s="65">
        <v>3808090</v>
      </c>
      <c r="E38" s="65">
        <v>3770000</v>
      </c>
      <c r="F38" s="65">
        <v>38090</v>
      </c>
      <c r="G38" s="65"/>
      <c r="H38" s="65"/>
      <c r="I38" s="65"/>
      <c r="J38" s="65">
        <v>135598127</v>
      </c>
      <c r="K38" s="65">
        <v>135598127</v>
      </c>
      <c r="L38" s="65"/>
      <c r="M38" s="65"/>
      <c r="N38" s="65"/>
      <c r="O38" s="65"/>
    </row>
    <row r="39" ht="20.25" customHeight="true" spans="1:15">
      <c r="A39" s="178" t="s">
        <v>131</v>
      </c>
      <c r="B39" s="178" t="str">
        <f>"        "&amp;"儿童医院"</f>
        <v>        儿童医院</v>
      </c>
      <c r="C39" s="65">
        <v>117280424.07</v>
      </c>
      <c r="D39" s="65">
        <v>2120000</v>
      </c>
      <c r="E39" s="65"/>
      <c r="F39" s="65">
        <v>2120000</v>
      </c>
      <c r="G39" s="65"/>
      <c r="H39" s="65"/>
      <c r="I39" s="65"/>
      <c r="J39" s="65">
        <v>115160424.07</v>
      </c>
      <c r="K39" s="65">
        <v>115160424.07</v>
      </c>
      <c r="L39" s="65"/>
      <c r="M39" s="65"/>
      <c r="N39" s="65"/>
      <c r="O39" s="65"/>
    </row>
    <row r="40" ht="20.25" customHeight="true" spans="1:15">
      <c r="A40" s="178" t="s">
        <v>132</v>
      </c>
      <c r="B40" s="178" t="str">
        <f>"        "&amp;"其他公立医院支出"</f>
        <v>        其他公立医院支出</v>
      </c>
      <c r="C40" s="65">
        <v>29554454.55</v>
      </c>
      <c r="D40" s="65">
        <v>29554454.55</v>
      </c>
      <c r="E40" s="65">
        <v>78600</v>
      </c>
      <c r="F40" s="65">
        <v>29475854.55</v>
      </c>
      <c r="G40" s="65"/>
      <c r="H40" s="65"/>
      <c r="I40" s="65"/>
      <c r="J40" s="65"/>
      <c r="K40" s="65"/>
      <c r="L40" s="65"/>
      <c r="M40" s="65"/>
      <c r="N40" s="65"/>
      <c r="O40" s="65"/>
    </row>
    <row r="41" ht="20.25" customHeight="true" spans="1:15">
      <c r="A41" s="171" t="s">
        <v>133</v>
      </c>
      <c r="B41" s="171" t="str">
        <f>"        "&amp;"基层医疗卫生机构"</f>
        <v>        基层医疗卫生机构</v>
      </c>
      <c r="C41" s="65">
        <v>5550140</v>
      </c>
      <c r="D41" s="65">
        <v>5550140</v>
      </c>
      <c r="E41" s="65"/>
      <c r="F41" s="65">
        <v>5550140</v>
      </c>
      <c r="G41" s="65"/>
      <c r="H41" s="65"/>
      <c r="I41" s="65"/>
      <c r="J41" s="65"/>
      <c r="K41" s="65"/>
      <c r="L41" s="65"/>
      <c r="M41" s="65"/>
      <c r="N41" s="65"/>
      <c r="O41" s="65"/>
    </row>
    <row r="42" ht="20.25" customHeight="true" spans="1:15">
      <c r="A42" s="178" t="s">
        <v>134</v>
      </c>
      <c r="B42" s="178" t="str">
        <f>"        "&amp;"其他基层医疗卫生机构支出"</f>
        <v>        其他基层医疗卫生机构支出</v>
      </c>
      <c r="C42" s="65">
        <v>5550140</v>
      </c>
      <c r="D42" s="65">
        <v>5550140</v>
      </c>
      <c r="E42" s="65"/>
      <c r="F42" s="65">
        <v>5550140</v>
      </c>
      <c r="G42" s="65"/>
      <c r="H42" s="65"/>
      <c r="I42" s="65"/>
      <c r="J42" s="65"/>
      <c r="K42" s="65"/>
      <c r="L42" s="65"/>
      <c r="M42" s="65"/>
      <c r="N42" s="65"/>
      <c r="O42" s="65"/>
    </row>
    <row r="43" ht="20.25" customHeight="true" spans="1:15">
      <c r="A43" s="171" t="s">
        <v>135</v>
      </c>
      <c r="B43" s="171" t="str">
        <f>"        "&amp;"公共卫生"</f>
        <v>        公共卫生</v>
      </c>
      <c r="C43" s="65">
        <v>238089421.36</v>
      </c>
      <c r="D43" s="65">
        <v>89932834.37</v>
      </c>
      <c r="E43" s="65">
        <v>53086438.86</v>
      </c>
      <c r="F43" s="65">
        <v>36846395.51</v>
      </c>
      <c r="G43" s="65"/>
      <c r="H43" s="65"/>
      <c r="I43" s="65"/>
      <c r="J43" s="65">
        <v>148156586.99</v>
      </c>
      <c r="K43" s="65">
        <v>148151486.99</v>
      </c>
      <c r="L43" s="65"/>
      <c r="M43" s="65"/>
      <c r="N43" s="65"/>
      <c r="O43" s="65">
        <v>5100</v>
      </c>
    </row>
    <row r="44" ht="20.25" customHeight="true" spans="1:15">
      <c r="A44" s="178" t="s">
        <v>136</v>
      </c>
      <c r="B44" s="178" t="str">
        <f>"        "&amp;"疾病预防控制机构"</f>
        <v>        疾病预防控制机构</v>
      </c>
      <c r="C44" s="65">
        <v>19505657.95</v>
      </c>
      <c r="D44" s="65">
        <v>16612131.76</v>
      </c>
      <c r="E44" s="65">
        <v>16612131.76</v>
      </c>
      <c r="F44" s="65"/>
      <c r="G44" s="65"/>
      <c r="H44" s="65"/>
      <c r="I44" s="65"/>
      <c r="J44" s="65">
        <v>2893526.19</v>
      </c>
      <c r="K44" s="65">
        <v>2893526.19</v>
      </c>
      <c r="L44" s="65"/>
      <c r="M44" s="65"/>
      <c r="N44" s="65"/>
      <c r="O44" s="65"/>
    </row>
    <row r="45" ht="20.25" customHeight="true" spans="1:15">
      <c r="A45" s="178" t="s">
        <v>137</v>
      </c>
      <c r="B45" s="178" t="str">
        <f>"        "&amp;"卫生监督机构"</f>
        <v>        卫生监督机构</v>
      </c>
      <c r="C45" s="65">
        <v>5706231.5</v>
      </c>
      <c r="D45" s="65">
        <v>5706231.5</v>
      </c>
      <c r="E45" s="65">
        <v>5676231.5</v>
      </c>
      <c r="F45" s="65">
        <v>30000</v>
      </c>
      <c r="G45" s="65"/>
      <c r="H45" s="65"/>
      <c r="I45" s="65"/>
      <c r="J45" s="65"/>
      <c r="K45" s="65"/>
      <c r="L45" s="65"/>
      <c r="M45" s="65"/>
      <c r="N45" s="65"/>
      <c r="O45" s="65"/>
    </row>
    <row r="46" ht="20.25" customHeight="true" spans="1:15">
      <c r="A46" s="178" t="s">
        <v>138</v>
      </c>
      <c r="B46" s="178" t="str">
        <f>"        "&amp;"妇幼保健机构"</f>
        <v>        妇幼保健机构</v>
      </c>
      <c r="C46" s="65">
        <v>119896162.57</v>
      </c>
      <c r="D46" s="65">
        <v>16519362.57</v>
      </c>
      <c r="E46" s="65">
        <v>16023038.08</v>
      </c>
      <c r="F46" s="65">
        <v>496324.49</v>
      </c>
      <c r="G46" s="65"/>
      <c r="H46" s="65"/>
      <c r="I46" s="65"/>
      <c r="J46" s="65">
        <v>103376800</v>
      </c>
      <c r="K46" s="65">
        <v>103376800</v>
      </c>
      <c r="L46" s="65"/>
      <c r="M46" s="65"/>
      <c r="N46" s="65"/>
      <c r="O46" s="65"/>
    </row>
    <row r="47" ht="20.25" customHeight="true" spans="1:15">
      <c r="A47" s="178" t="s">
        <v>139</v>
      </c>
      <c r="B47" s="178" t="str">
        <f>"        "&amp;"应急救治机构"</f>
        <v>        应急救治机构</v>
      </c>
      <c r="C47" s="65">
        <v>13095823.79</v>
      </c>
      <c r="D47" s="65">
        <v>8353939.79</v>
      </c>
      <c r="E47" s="65">
        <v>8353939.79</v>
      </c>
      <c r="F47" s="65"/>
      <c r="G47" s="65"/>
      <c r="H47" s="65"/>
      <c r="I47" s="65"/>
      <c r="J47" s="65">
        <v>4741884</v>
      </c>
      <c r="K47" s="65">
        <v>4736784</v>
      </c>
      <c r="L47" s="65"/>
      <c r="M47" s="65"/>
      <c r="N47" s="65"/>
      <c r="O47" s="65">
        <v>5100</v>
      </c>
    </row>
    <row r="48" ht="20.25" customHeight="true" spans="1:15">
      <c r="A48" s="178" t="s">
        <v>140</v>
      </c>
      <c r="B48" s="178" t="str">
        <f>"        "&amp;"采供血机构"</f>
        <v>        采供血机构</v>
      </c>
      <c r="C48" s="65">
        <v>43565474.53</v>
      </c>
      <c r="D48" s="65">
        <v>6421097.73</v>
      </c>
      <c r="E48" s="65">
        <v>6421097.73</v>
      </c>
      <c r="F48" s="65"/>
      <c r="G48" s="65"/>
      <c r="H48" s="65"/>
      <c r="I48" s="65"/>
      <c r="J48" s="65">
        <v>37144376.8</v>
      </c>
      <c r="K48" s="65">
        <v>37144376.8</v>
      </c>
      <c r="L48" s="65"/>
      <c r="M48" s="65"/>
      <c r="N48" s="65"/>
      <c r="O48" s="65"/>
    </row>
    <row r="49" ht="20.25" customHeight="true" spans="1:15">
      <c r="A49" s="178" t="s">
        <v>141</v>
      </c>
      <c r="B49" s="178" t="str">
        <f>"        "&amp;"基本公共卫生服务"</f>
        <v>        基本公共卫生服务</v>
      </c>
      <c r="C49" s="65">
        <v>14485259.25</v>
      </c>
      <c r="D49" s="65">
        <v>14485259.25</v>
      </c>
      <c r="E49" s="65"/>
      <c r="F49" s="65">
        <v>14485259.25</v>
      </c>
      <c r="G49" s="65"/>
      <c r="H49" s="65"/>
      <c r="I49" s="65"/>
      <c r="J49" s="65"/>
      <c r="K49" s="65"/>
      <c r="L49" s="65"/>
      <c r="M49" s="65"/>
      <c r="N49" s="65"/>
      <c r="O49" s="65"/>
    </row>
    <row r="50" ht="20.25" customHeight="true" spans="1:15">
      <c r="A50" s="178" t="s">
        <v>142</v>
      </c>
      <c r="B50" s="178" t="str">
        <f>"        "&amp;"重大公共卫生服务"</f>
        <v>        重大公共卫生服务</v>
      </c>
      <c r="C50" s="65">
        <v>21834811.77</v>
      </c>
      <c r="D50" s="65">
        <v>21834811.77</v>
      </c>
      <c r="E50" s="65"/>
      <c r="F50" s="65">
        <v>21834811.77</v>
      </c>
      <c r="G50" s="65"/>
      <c r="H50" s="65"/>
      <c r="I50" s="65"/>
      <c r="J50" s="65"/>
      <c r="K50" s="65"/>
      <c r="L50" s="65"/>
      <c r="M50" s="65"/>
      <c r="N50" s="65"/>
      <c r="O50" s="65"/>
    </row>
    <row r="51" ht="20.25" customHeight="true" spans="1:15">
      <c r="A51" s="171" t="s">
        <v>143</v>
      </c>
      <c r="B51" s="171" t="str">
        <f>"        "&amp;"计划生育事务"</f>
        <v>        计划生育事务</v>
      </c>
      <c r="C51" s="65">
        <v>13052900</v>
      </c>
      <c r="D51" s="65">
        <v>13052900</v>
      </c>
      <c r="E51" s="65"/>
      <c r="F51" s="65">
        <v>13052900</v>
      </c>
      <c r="G51" s="65"/>
      <c r="H51" s="65"/>
      <c r="I51" s="65"/>
      <c r="J51" s="65"/>
      <c r="K51" s="65"/>
      <c r="L51" s="65"/>
      <c r="M51" s="65"/>
      <c r="N51" s="65"/>
      <c r="O51" s="65"/>
    </row>
    <row r="52" ht="20.25" customHeight="true" spans="1:15">
      <c r="A52" s="178" t="s">
        <v>144</v>
      </c>
      <c r="B52" s="178" t="str">
        <f>"        "&amp;"计划生育服务"</f>
        <v>        计划生育服务</v>
      </c>
      <c r="C52" s="65">
        <v>12709100</v>
      </c>
      <c r="D52" s="65">
        <v>12709100</v>
      </c>
      <c r="E52" s="65"/>
      <c r="F52" s="65">
        <v>12709100</v>
      </c>
      <c r="G52" s="65"/>
      <c r="H52" s="65"/>
      <c r="I52" s="65"/>
      <c r="J52" s="65"/>
      <c r="K52" s="65"/>
      <c r="L52" s="65"/>
      <c r="M52" s="65"/>
      <c r="N52" s="65"/>
      <c r="O52" s="65"/>
    </row>
    <row r="53" ht="20.25" customHeight="true" spans="1:15">
      <c r="A53" s="178" t="s">
        <v>145</v>
      </c>
      <c r="B53" s="178" t="str">
        <f>"        "&amp;"其他计划生育事务支出"</f>
        <v>        其他计划生育事务支出</v>
      </c>
      <c r="C53" s="65">
        <v>343800</v>
      </c>
      <c r="D53" s="65">
        <v>343800</v>
      </c>
      <c r="E53" s="65"/>
      <c r="F53" s="65">
        <v>343800</v>
      </c>
      <c r="G53" s="65"/>
      <c r="H53" s="65"/>
      <c r="I53" s="65"/>
      <c r="J53" s="65"/>
      <c r="K53" s="65"/>
      <c r="L53" s="65"/>
      <c r="M53" s="65"/>
      <c r="N53" s="65"/>
      <c r="O53" s="65"/>
    </row>
    <row r="54" ht="20.25" customHeight="true" spans="1:15">
      <c r="A54" s="171" t="s">
        <v>146</v>
      </c>
      <c r="B54" s="171" t="str">
        <f>"        "&amp;"行政事业单位医疗"</f>
        <v>        行政事业单位医疗</v>
      </c>
      <c r="C54" s="65">
        <v>43379419.48</v>
      </c>
      <c r="D54" s="65">
        <v>16333717.29</v>
      </c>
      <c r="E54" s="65">
        <v>16333717.29</v>
      </c>
      <c r="F54" s="65"/>
      <c r="G54" s="65"/>
      <c r="H54" s="65"/>
      <c r="I54" s="65"/>
      <c r="J54" s="65">
        <v>27045702.19</v>
      </c>
      <c r="K54" s="65">
        <v>27045702.19</v>
      </c>
      <c r="L54" s="65"/>
      <c r="M54" s="65"/>
      <c r="N54" s="65"/>
      <c r="O54" s="65"/>
    </row>
    <row r="55" ht="20.25" customHeight="true" spans="1:15">
      <c r="A55" s="178" t="s">
        <v>147</v>
      </c>
      <c r="B55" s="178" t="str">
        <f>"        "&amp;"行政单位医疗"</f>
        <v>        行政单位医疗</v>
      </c>
      <c r="C55" s="65">
        <v>903269.11</v>
      </c>
      <c r="D55" s="65">
        <v>903269.11</v>
      </c>
      <c r="E55" s="65">
        <v>903269.11</v>
      </c>
      <c r="F55" s="65"/>
      <c r="G55" s="65"/>
      <c r="H55" s="65"/>
      <c r="I55" s="65"/>
      <c r="J55" s="65"/>
      <c r="K55" s="65"/>
      <c r="L55" s="65"/>
      <c r="M55" s="65"/>
      <c r="N55" s="65"/>
      <c r="O55" s="65"/>
    </row>
    <row r="56" ht="20.25" customHeight="true" spans="1:15">
      <c r="A56" s="178" t="s">
        <v>148</v>
      </c>
      <c r="B56" s="178" t="str">
        <f>"        "&amp;"事业单位医疗"</f>
        <v>        事业单位医疗</v>
      </c>
      <c r="C56" s="65">
        <v>22427281.87</v>
      </c>
      <c r="D56" s="65">
        <v>6956284.52</v>
      </c>
      <c r="E56" s="65">
        <v>6956284.52</v>
      </c>
      <c r="F56" s="65"/>
      <c r="G56" s="65"/>
      <c r="H56" s="65"/>
      <c r="I56" s="65"/>
      <c r="J56" s="65">
        <v>15470997.35</v>
      </c>
      <c r="K56" s="65">
        <v>15470997.35</v>
      </c>
      <c r="L56" s="65"/>
      <c r="M56" s="65"/>
      <c r="N56" s="65"/>
      <c r="O56" s="65"/>
    </row>
    <row r="57" ht="20.25" customHeight="true" spans="1:15">
      <c r="A57" s="178" t="s">
        <v>149</v>
      </c>
      <c r="B57" s="178" t="str">
        <f>"        "&amp;"公务员医疗补助"</f>
        <v>        公务员医疗补助</v>
      </c>
      <c r="C57" s="65">
        <v>18566280</v>
      </c>
      <c r="D57" s="65">
        <v>8044771.85</v>
      </c>
      <c r="E57" s="65">
        <v>8044771.85</v>
      </c>
      <c r="F57" s="65"/>
      <c r="G57" s="65"/>
      <c r="H57" s="65"/>
      <c r="I57" s="65"/>
      <c r="J57" s="65">
        <v>10521508.15</v>
      </c>
      <c r="K57" s="65">
        <v>10521508.15</v>
      </c>
      <c r="L57" s="65"/>
      <c r="M57" s="65"/>
      <c r="N57" s="65"/>
      <c r="O57" s="65"/>
    </row>
    <row r="58" ht="20.25" customHeight="true" spans="1:15">
      <c r="A58" s="178" t="s">
        <v>150</v>
      </c>
      <c r="B58" s="178" t="str">
        <f>"        "&amp;"其他行政事业单位医疗支出"</f>
        <v>        其他行政事业单位医疗支出</v>
      </c>
      <c r="C58" s="65">
        <v>1482588.5</v>
      </c>
      <c r="D58" s="65">
        <v>429391.81</v>
      </c>
      <c r="E58" s="65">
        <v>429391.81</v>
      </c>
      <c r="F58" s="65"/>
      <c r="G58" s="65"/>
      <c r="H58" s="65"/>
      <c r="I58" s="65"/>
      <c r="J58" s="65">
        <v>1053196.69</v>
      </c>
      <c r="K58" s="65">
        <v>1053196.69</v>
      </c>
      <c r="L58" s="65"/>
      <c r="M58" s="65"/>
      <c r="N58" s="65"/>
      <c r="O58" s="65"/>
    </row>
    <row r="59" ht="20.25" customHeight="true" spans="1:15">
      <c r="A59" s="171" t="s">
        <v>151</v>
      </c>
      <c r="B59" s="171" t="str">
        <f>"        "&amp;"中医药事务"</f>
        <v>        中医药事务</v>
      </c>
      <c r="C59" s="65">
        <v>3610212.36</v>
      </c>
      <c r="D59" s="65">
        <v>3610212.36</v>
      </c>
      <c r="E59" s="65"/>
      <c r="F59" s="65">
        <v>3610212.36</v>
      </c>
      <c r="G59" s="65"/>
      <c r="H59" s="65"/>
      <c r="I59" s="65"/>
      <c r="J59" s="65"/>
      <c r="K59" s="65"/>
      <c r="L59" s="65"/>
      <c r="M59" s="65"/>
      <c r="N59" s="65"/>
      <c r="O59" s="65"/>
    </row>
    <row r="60" ht="20.25" customHeight="true" spans="1:15">
      <c r="A60" s="178" t="s">
        <v>152</v>
      </c>
      <c r="B60" s="178" t="str">
        <f>"        "&amp;"中医（民族医）药专项"</f>
        <v>        中医（民族医）药专项</v>
      </c>
      <c r="C60" s="65">
        <v>3610212.36</v>
      </c>
      <c r="D60" s="65">
        <v>3610212.36</v>
      </c>
      <c r="E60" s="65"/>
      <c r="F60" s="65">
        <v>3610212.36</v>
      </c>
      <c r="G60" s="65"/>
      <c r="H60" s="65"/>
      <c r="I60" s="65"/>
      <c r="J60" s="65"/>
      <c r="K60" s="65"/>
      <c r="L60" s="65"/>
      <c r="M60" s="65"/>
      <c r="N60" s="65"/>
      <c r="O60" s="65"/>
    </row>
    <row r="61" ht="20.25" customHeight="true" spans="1:15">
      <c r="A61" s="171" t="s">
        <v>153</v>
      </c>
      <c r="B61" s="171" t="str">
        <f>"        "&amp;"其他卫生健康支出"</f>
        <v>        其他卫生健康支出</v>
      </c>
      <c r="C61" s="65">
        <v>24690499.63</v>
      </c>
      <c r="D61" s="65">
        <v>24690499.63</v>
      </c>
      <c r="E61" s="65"/>
      <c r="F61" s="65">
        <v>24690499.63</v>
      </c>
      <c r="G61" s="65"/>
      <c r="H61" s="65"/>
      <c r="I61" s="65"/>
      <c r="J61" s="65"/>
      <c r="K61" s="65"/>
      <c r="L61" s="65"/>
      <c r="M61" s="65"/>
      <c r="N61" s="65"/>
      <c r="O61" s="65"/>
    </row>
    <row r="62" ht="20.25" customHeight="true" spans="1:15">
      <c r="A62" s="178" t="s">
        <v>154</v>
      </c>
      <c r="B62" s="178" t="str">
        <f>"        "&amp;"其他卫生健康支出"</f>
        <v>        其他卫生健康支出</v>
      </c>
      <c r="C62" s="65">
        <v>24690499.63</v>
      </c>
      <c r="D62" s="65">
        <v>24690499.63</v>
      </c>
      <c r="E62" s="65"/>
      <c r="F62" s="65">
        <v>24690499.63</v>
      </c>
      <c r="G62" s="65"/>
      <c r="H62" s="65"/>
      <c r="I62" s="65"/>
      <c r="J62" s="65"/>
      <c r="K62" s="65"/>
      <c r="L62" s="65"/>
      <c r="M62" s="65"/>
      <c r="N62" s="65"/>
      <c r="O62" s="65"/>
    </row>
    <row r="63" ht="20.25" customHeight="true" spans="1:15">
      <c r="A63" s="165" t="s">
        <v>155</v>
      </c>
      <c r="B63" s="165" t="str">
        <f>"        "&amp;"商业服务业等支出"</f>
        <v>        商业服务业等支出</v>
      </c>
      <c r="C63" s="65">
        <v>195407400</v>
      </c>
      <c r="D63" s="65"/>
      <c r="E63" s="65"/>
      <c r="F63" s="65"/>
      <c r="G63" s="65"/>
      <c r="H63" s="65"/>
      <c r="I63" s="65"/>
      <c r="J63" s="65">
        <v>195407400</v>
      </c>
      <c r="K63" s="65">
        <v>195407400</v>
      </c>
      <c r="L63" s="65"/>
      <c r="M63" s="65"/>
      <c r="N63" s="65"/>
      <c r="O63" s="65"/>
    </row>
    <row r="64" ht="20.25" customHeight="true" spans="1:15">
      <c r="A64" s="171" t="s">
        <v>156</v>
      </c>
      <c r="B64" s="171" t="str">
        <f>"        "&amp;"商业流通事务"</f>
        <v>        商业流通事务</v>
      </c>
      <c r="C64" s="65">
        <v>195407400</v>
      </c>
      <c r="D64" s="65"/>
      <c r="E64" s="65"/>
      <c r="F64" s="65"/>
      <c r="G64" s="65"/>
      <c r="H64" s="65"/>
      <c r="I64" s="65"/>
      <c r="J64" s="65">
        <v>195407400</v>
      </c>
      <c r="K64" s="65">
        <v>195407400</v>
      </c>
      <c r="L64" s="65"/>
      <c r="M64" s="65"/>
      <c r="N64" s="65"/>
      <c r="O64" s="65"/>
    </row>
    <row r="65" ht="20.25" customHeight="true" spans="1:15">
      <c r="A65" s="178" t="s">
        <v>157</v>
      </c>
      <c r="B65" s="178" t="str">
        <f>"        "&amp;"事业运行"</f>
        <v>        事业运行</v>
      </c>
      <c r="C65" s="65">
        <v>195407400</v>
      </c>
      <c r="D65" s="65"/>
      <c r="E65" s="65"/>
      <c r="F65" s="65"/>
      <c r="G65" s="65"/>
      <c r="H65" s="65"/>
      <c r="I65" s="65"/>
      <c r="J65" s="65">
        <v>195407400</v>
      </c>
      <c r="K65" s="65">
        <v>195407400</v>
      </c>
      <c r="L65" s="65"/>
      <c r="M65" s="65"/>
      <c r="N65" s="65"/>
      <c r="O65" s="65"/>
    </row>
    <row r="66" ht="20.25" customHeight="true" spans="1:15">
      <c r="A66" s="165" t="s">
        <v>158</v>
      </c>
      <c r="B66" s="165" t="str">
        <f>"        "&amp;"住房保障支出"</f>
        <v>        住房保障支出</v>
      </c>
      <c r="C66" s="65">
        <v>56625986</v>
      </c>
      <c r="D66" s="65">
        <v>11837552</v>
      </c>
      <c r="E66" s="65">
        <v>11837552</v>
      </c>
      <c r="F66" s="65"/>
      <c r="G66" s="65"/>
      <c r="H66" s="65"/>
      <c r="I66" s="65"/>
      <c r="J66" s="65">
        <v>44788434</v>
      </c>
      <c r="K66" s="65">
        <v>44788434</v>
      </c>
      <c r="L66" s="65"/>
      <c r="M66" s="65"/>
      <c r="N66" s="65"/>
      <c r="O66" s="65"/>
    </row>
    <row r="67" ht="20.25" customHeight="true" spans="1:15">
      <c r="A67" s="171" t="s">
        <v>159</v>
      </c>
      <c r="B67" s="171" t="str">
        <f>"        "&amp;"住房改革支出"</f>
        <v>        住房改革支出</v>
      </c>
      <c r="C67" s="65">
        <v>56625986</v>
      </c>
      <c r="D67" s="65">
        <v>11837552</v>
      </c>
      <c r="E67" s="65">
        <v>11837552</v>
      </c>
      <c r="F67" s="65"/>
      <c r="G67" s="65"/>
      <c r="H67" s="65"/>
      <c r="I67" s="65"/>
      <c r="J67" s="65">
        <v>44788434</v>
      </c>
      <c r="K67" s="65">
        <v>44788434</v>
      </c>
      <c r="L67" s="65"/>
      <c r="M67" s="65"/>
      <c r="N67" s="65"/>
      <c r="O67" s="65"/>
    </row>
    <row r="68" ht="20.25" customHeight="true" spans="1:15">
      <c r="A68" s="178" t="s">
        <v>160</v>
      </c>
      <c r="B68" s="178" t="str">
        <f>"        "&amp;"住房公积金"</f>
        <v>        住房公积金</v>
      </c>
      <c r="C68" s="65">
        <v>56176298</v>
      </c>
      <c r="D68" s="65">
        <v>11387864</v>
      </c>
      <c r="E68" s="65">
        <v>11387864</v>
      </c>
      <c r="F68" s="65"/>
      <c r="G68" s="65"/>
      <c r="H68" s="65"/>
      <c r="I68" s="65"/>
      <c r="J68" s="65">
        <v>44788434</v>
      </c>
      <c r="K68" s="65">
        <v>44788434</v>
      </c>
      <c r="L68" s="65"/>
      <c r="M68" s="65"/>
      <c r="N68" s="65"/>
      <c r="O68" s="65"/>
    </row>
    <row r="69" ht="20.25" customHeight="true" spans="1:15">
      <c r="A69" s="178" t="s">
        <v>161</v>
      </c>
      <c r="B69" s="178" t="str">
        <f>"        "&amp;"购房补贴"</f>
        <v>        购房补贴</v>
      </c>
      <c r="C69" s="65">
        <v>449688</v>
      </c>
      <c r="D69" s="65">
        <v>449688</v>
      </c>
      <c r="E69" s="65">
        <v>449688</v>
      </c>
      <c r="F69" s="65"/>
      <c r="G69" s="65"/>
      <c r="H69" s="65"/>
      <c r="I69" s="65"/>
      <c r="J69" s="65"/>
      <c r="K69" s="65"/>
      <c r="L69" s="65"/>
      <c r="M69" s="65"/>
      <c r="N69" s="65"/>
      <c r="O69" s="65"/>
    </row>
    <row r="70" ht="20.25" customHeight="true" spans="1:15">
      <c r="A70" s="165" t="s">
        <v>162</v>
      </c>
      <c r="B70" s="165" t="str">
        <f>"        "&amp;"其他支出"</f>
        <v>        其他支出</v>
      </c>
      <c r="C70" s="65">
        <v>7323200</v>
      </c>
      <c r="D70" s="65"/>
      <c r="E70" s="65"/>
      <c r="F70" s="65"/>
      <c r="G70" s="65"/>
      <c r="H70" s="65"/>
      <c r="I70" s="65"/>
      <c r="J70" s="65">
        <v>7323200</v>
      </c>
      <c r="K70" s="65">
        <v>7323200</v>
      </c>
      <c r="L70" s="65"/>
      <c r="M70" s="65"/>
      <c r="N70" s="65"/>
      <c r="O70" s="65"/>
    </row>
    <row r="71" ht="20.25" customHeight="true" spans="1:15">
      <c r="A71" s="171" t="s">
        <v>163</v>
      </c>
      <c r="B71" s="171" t="str">
        <f>"        "&amp;"其他支出"</f>
        <v>        其他支出</v>
      </c>
      <c r="C71" s="65">
        <v>7323200</v>
      </c>
      <c r="D71" s="65"/>
      <c r="E71" s="65"/>
      <c r="F71" s="65"/>
      <c r="G71" s="65"/>
      <c r="H71" s="65"/>
      <c r="I71" s="65"/>
      <c r="J71" s="65">
        <v>7323200</v>
      </c>
      <c r="K71" s="65">
        <v>7323200</v>
      </c>
      <c r="L71" s="65"/>
      <c r="M71" s="65"/>
      <c r="N71" s="65"/>
      <c r="O71" s="65"/>
    </row>
    <row r="72" ht="20.25" customHeight="true" spans="1:15">
      <c r="A72" s="178" t="s">
        <v>164</v>
      </c>
      <c r="B72" s="178" t="str">
        <f>"        "&amp;"其他支出"</f>
        <v>        其他支出</v>
      </c>
      <c r="C72" s="65">
        <v>7323200</v>
      </c>
      <c r="D72" s="65"/>
      <c r="E72" s="65"/>
      <c r="F72" s="65"/>
      <c r="G72" s="65"/>
      <c r="H72" s="65"/>
      <c r="I72" s="65"/>
      <c r="J72" s="65">
        <v>7323200</v>
      </c>
      <c r="K72" s="65">
        <v>7323200</v>
      </c>
      <c r="L72" s="65"/>
      <c r="M72" s="65"/>
      <c r="N72" s="65"/>
      <c r="O72" s="65"/>
    </row>
    <row r="73" ht="20.25" customHeight="true" spans="1:15">
      <c r="A73" s="165" t="s">
        <v>165</v>
      </c>
      <c r="B73" s="165" t="str">
        <f>"        "&amp;"转移性支出"</f>
        <v>        转移性支出</v>
      </c>
      <c r="C73" s="65">
        <v>247054700</v>
      </c>
      <c r="D73" s="65">
        <v>247054700</v>
      </c>
      <c r="E73" s="65"/>
      <c r="F73" s="65">
        <v>247054700</v>
      </c>
      <c r="G73" s="65"/>
      <c r="H73" s="65"/>
      <c r="I73" s="65"/>
      <c r="J73" s="65"/>
      <c r="K73" s="65"/>
      <c r="L73" s="65"/>
      <c r="M73" s="65"/>
      <c r="N73" s="65"/>
      <c r="O73" s="65"/>
    </row>
    <row r="74" ht="20.25" customHeight="true" spans="1:15">
      <c r="A74" s="171" t="s">
        <v>166</v>
      </c>
      <c r="B74" s="171" t="str">
        <f>"        "&amp;"一般性转移支付"</f>
        <v>        一般性转移支付</v>
      </c>
      <c r="C74" s="65">
        <v>247054700</v>
      </c>
      <c r="D74" s="65">
        <v>247054700</v>
      </c>
      <c r="E74" s="65"/>
      <c r="F74" s="65">
        <v>247054700</v>
      </c>
      <c r="G74" s="65"/>
      <c r="H74" s="65"/>
      <c r="I74" s="65"/>
      <c r="J74" s="65"/>
      <c r="K74" s="65"/>
      <c r="L74" s="65"/>
      <c r="M74" s="65"/>
      <c r="N74" s="65"/>
      <c r="O74" s="65"/>
    </row>
    <row r="75" ht="20.25" customHeight="true" spans="1:15">
      <c r="A75" s="178" t="s">
        <v>167</v>
      </c>
      <c r="B75" s="178" t="str">
        <f>"        "&amp;"医疗卫生共同财政事权转移支付支出"</f>
        <v>        医疗卫生共同财政事权转移支付支出</v>
      </c>
      <c r="C75" s="65">
        <v>247054700</v>
      </c>
      <c r="D75" s="65">
        <v>247054700</v>
      </c>
      <c r="E75" s="65"/>
      <c r="F75" s="65">
        <v>247054700</v>
      </c>
      <c r="G75" s="65"/>
      <c r="H75" s="65"/>
      <c r="I75" s="65"/>
      <c r="J75" s="65"/>
      <c r="K75" s="65"/>
      <c r="L75" s="65"/>
      <c r="M75" s="65"/>
      <c r="N75" s="65"/>
      <c r="O75" s="65"/>
    </row>
    <row r="76" ht="20.25" customHeight="true" spans="1:15">
      <c r="A76" s="165" t="s">
        <v>168</v>
      </c>
      <c r="B76" s="165" t="str">
        <f>"        "&amp;"债务付息支出"</f>
        <v>        债务付息支出</v>
      </c>
      <c r="C76" s="65">
        <v>8120500</v>
      </c>
      <c r="D76" s="65"/>
      <c r="E76" s="65"/>
      <c r="F76" s="65"/>
      <c r="G76" s="65"/>
      <c r="H76" s="65"/>
      <c r="I76" s="65"/>
      <c r="J76" s="65">
        <v>8120500</v>
      </c>
      <c r="K76" s="65">
        <v>8120500</v>
      </c>
      <c r="L76" s="65"/>
      <c r="M76" s="65"/>
      <c r="N76" s="65"/>
      <c r="O76" s="65"/>
    </row>
    <row r="77" ht="20.25" customHeight="true" spans="1:15">
      <c r="A77" s="171" t="s">
        <v>169</v>
      </c>
      <c r="B77" s="171" t="str">
        <f>"        "&amp;"地方政府一般债务付息支出"</f>
        <v>        地方政府一般债务付息支出</v>
      </c>
      <c r="C77" s="65">
        <v>8120500</v>
      </c>
      <c r="D77" s="65"/>
      <c r="E77" s="65"/>
      <c r="F77" s="65"/>
      <c r="G77" s="65"/>
      <c r="H77" s="65"/>
      <c r="I77" s="65"/>
      <c r="J77" s="65">
        <v>8120500</v>
      </c>
      <c r="K77" s="65">
        <v>8120500</v>
      </c>
      <c r="L77" s="65"/>
      <c r="M77" s="65"/>
      <c r="N77" s="65"/>
      <c r="O77" s="65"/>
    </row>
    <row r="78" ht="20.25" customHeight="true" spans="1:15">
      <c r="A78" s="178" t="s">
        <v>170</v>
      </c>
      <c r="B78" s="178" t="str">
        <f>"        "&amp;"地方政府其他一般债务付息支出"</f>
        <v>        地方政府其他一般债务付息支出</v>
      </c>
      <c r="C78" s="65">
        <v>8120500</v>
      </c>
      <c r="D78" s="65"/>
      <c r="E78" s="65"/>
      <c r="F78" s="65"/>
      <c r="G78" s="65"/>
      <c r="H78" s="65"/>
      <c r="I78" s="65"/>
      <c r="J78" s="65">
        <v>8120500</v>
      </c>
      <c r="K78" s="65">
        <v>8120500</v>
      </c>
      <c r="L78" s="65"/>
      <c r="M78" s="65"/>
      <c r="N78" s="65"/>
      <c r="O78" s="65"/>
    </row>
    <row r="79" ht="20.25" customHeight="true" spans="1:15">
      <c r="A79" s="172" t="s">
        <v>30</v>
      </c>
      <c r="B79" s="165"/>
      <c r="C79" s="168">
        <v>3156851071.51</v>
      </c>
      <c r="D79" s="168">
        <v>569568621.67</v>
      </c>
      <c r="E79" s="168">
        <v>169039036.33</v>
      </c>
      <c r="F79" s="168">
        <v>400529585.34</v>
      </c>
      <c r="G79" s="168"/>
      <c r="H79" s="168"/>
      <c r="I79" s="168"/>
      <c r="J79" s="168">
        <v>2587282449.84</v>
      </c>
      <c r="K79" s="168">
        <v>2587277349.84</v>
      </c>
      <c r="L79" s="168"/>
      <c r="M79" s="168"/>
      <c r="N79" s="168"/>
      <c r="O79" s="168">
        <v>5100</v>
      </c>
    </row>
  </sheetData>
  <mergeCells count="12">
    <mergeCell ref="A1:O1"/>
    <mergeCell ref="A2:O2"/>
    <mergeCell ref="A3:N3"/>
    <mergeCell ref="D4:F4"/>
    <mergeCell ref="J4:O4"/>
    <mergeCell ref="A79:B7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17"/>
  <sheetViews>
    <sheetView showZeros="0" tabSelected="1" workbookViewId="0">
      <selection activeCell="C27" sqref="C27"/>
    </sheetView>
  </sheetViews>
  <sheetFormatPr defaultColWidth="8.85" defaultRowHeight="15" customHeight="true" outlineLevelCol="3"/>
  <cols>
    <col min="1" max="2" width="28.575" customWidth="true"/>
    <col min="3" max="3" width="35.7" customWidth="true"/>
    <col min="4" max="4" width="28.575" customWidth="true"/>
  </cols>
  <sheetData>
    <row r="1" ht="18.75" customHeight="true" spans="1:4">
      <c r="A1" s="56" t="s">
        <v>171</v>
      </c>
      <c r="B1" s="179"/>
      <c r="C1" s="179"/>
      <c r="D1" s="179"/>
    </row>
    <row r="2" ht="28.5" customHeight="true" spans="1:4">
      <c r="A2" s="180" t="s">
        <v>172</v>
      </c>
      <c r="B2" s="180"/>
      <c r="C2" s="180"/>
      <c r="D2" s="180"/>
    </row>
    <row r="3" ht="18.75" customHeight="true" spans="1:4">
      <c r="A3" s="58" t="str">
        <f>"单位名称："&amp;"玉溪市卫生健康委员会"</f>
        <v>单位名称：玉溪市卫生健康委员会</v>
      </c>
      <c r="B3" s="58"/>
      <c r="C3" s="58"/>
      <c r="D3" s="56" t="s">
        <v>2</v>
      </c>
    </row>
    <row r="4" ht="18.75" customHeight="true" spans="1:4">
      <c r="A4" s="181" t="s">
        <v>3</v>
      </c>
      <c r="B4" s="181"/>
      <c r="C4" s="181" t="s">
        <v>4</v>
      </c>
      <c r="D4" s="181"/>
    </row>
    <row r="5" ht="18.75" customHeight="true" spans="1:4">
      <c r="A5" s="182" t="s">
        <v>5</v>
      </c>
      <c r="B5" s="182" t="s">
        <v>6</v>
      </c>
      <c r="C5" s="182" t="s">
        <v>173</v>
      </c>
      <c r="D5" s="182" t="s">
        <v>6</v>
      </c>
    </row>
    <row r="6" ht="18.75" customHeight="true" spans="1:4">
      <c r="A6" s="183" t="s">
        <v>174</v>
      </c>
      <c r="B6" s="184"/>
      <c r="C6" s="185" t="s">
        <v>175</v>
      </c>
      <c r="D6" s="184"/>
    </row>
    <row r="7" ht="18.75" customHeight="true" spans="1:4">
      <c r="A7" s="163" t="s">
        <v>176</v>
      </c>
      <c r="B7" s="186">
        <v>453010604.83</v>
      </c>
      <c r="C7" s="187" t="str">
        <f>"（一）"&amp;"一般公共服务支出"</f>
        <v>（一）一般公共服务支出</v>
      </c>
      <c r="D7" s="186">
        <v>882232</v>
      </c>
    </row>
    <row r="8" ht="18.75" customHeight="true" spans="1:4">
      <c r="A8" s="163" t="s">
        <v>177</v>
      </c>
      <c r="B8" s="186"/>
      <c r="C8" s="187" t="str">
        <f>"（一）"&amp;"科学技术支出"</f>
        <v>（一）科学技术支出</v>
      </c>
      <c r="D8" s="186">
        <v>3616144.7</v>
      </c>
    </row>
    <row r="9" ht="18.75" customHeight="true" spans="1:4">
      <c r="A9" s="163" t="s">
        <v>178</v>
      </c>
      <c r="B9" s="186"/>
      <c r="C9" s="187" t="str">
        <f>"（二）"&amp;"社会保障和就业支出"</f>
        <v>（二）社会保障和就业支出</v>
      </c>
      <c r="D9" s="186">
        <v>65715462.39</v>
      </c>
    </row>
    <row r="10" ht="18.75" customHeight="true" spans="1:4">
      <c r="A10" s="163" t="s">
        <v>179</v>
      </c>
      <c r="B10" s="186"/>
      <c r="C10" s="187" t="str">
        <f>"（三）"&amp;"卫生健康支出"</f>
        <v>（三）卫生健康支出</v>
      </c>
      <c r="D10" s="186">
        <v>240462530.58</v>
      </c>
    </row>
    <row r="11" ht="18.75" customHeight="true" spans="1:4">
      <c r="A11" s="188" t="s">
        <v>176</v>
      </c>
      <c r="B11" s="186">
        <v>116558016.84</v>
      </c>
      <c r="C11" s="187" t="str">
        <f>"（四）"&amp;"商业服务业等支出"</f>
        <v>（四）商业服务业等支出</v>
      </c>
      <c r="D11" s="186"/>
    </row>
    <row r="12" ht="18.75" customHeight="true" spans="1:4">
      <c r="A12" s="188" t="s">
        <v>177</v>
      </c>
      <c r="B12" s="186"/>
      <c r="C12" s="187" t="str">
        <f>"（五）"&amp;"住房保障支出"</f>
        <v>（五）住房保障支出</v>
      </c>
      <c r="D12" s="186">
        <v>11837552</v>
      </c>
    </row>
    <row r="13" ht="18.75" customHeight="true" spans="1:4">
      <c r="A13" s="188" t="s">
        <v>178</v>
      </c>
      <c r="B13" s="186"/>
      <c r="C13" s="187" t="str">
        <f>"（六）"&amp;"其他支出"</f>
        <v>（六）其他支出</v>
      </c>
      <c r="D13" s="186"/>
    </row>
    <row r="14" ht="18.75" customHeight="true" spans="1:4">
      <c r="A14" s="163"/>
      <c r="B14" s="163"/>
      <c r="C14" s="187" t="str">
        <f>"（七）"&amp;"转移性支出"</f>
        <v>（七）转移性支出</v>
      </c>
      <c r="D14" s="186">
        <v>247054700</v>
      </c>
    </row>
    <row r="15" ht="18.75" customHeight="true" spans="1:4">
      <c r="A15" s="164"/>
      <c r="B15" s="164"/>
      <c r="C15" s="189" t="str">
        <f>"（八）"&amp;"债务付息支出"</f>
        <v>（八）债务付息支出</v>
      </c>
      <c r="D15" s="190"/>
    </row>
    <row r="16" ht="18.75" customHeight="true" spans="1:4">
      <c r="A16" s="165"/>
      <c r="B16" s="165"/>
      <c r="C16" s="165" t="s">
        <v>180</v>
      </c>
      <c r="D16" s="165"/>
    </row>
    <row r="17" ht="18.75" customHeight="true" spans="1:4">
      <c r="A17" s="191" t="s">
        <v>24</v>
      </c>
      <c r="B17" s="192">
        <v>569568621.67</v>
      </c>
      <c r="C17" s="191" t="s">
        <v>25</v>
      </c>
      <c r="D17" s="192">
        <v>569568621.67</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68"/>
  <sheetViews>
    <sheetView showZeros="0" tabSelected="1" workbookViewId="0">
      <selection activeCell="C27" sqref="C27"/>
    </sheetView>
  </sheetViews>
  <sheetFormatPr defaultColWidth="8.85" defaultRowHeight="15" customHeight="true" outlineLevelCol="6"/>
  <cols>
    <col min="1" max="1" width="17.8416666666667" customWidth="true"/>
    <col min="2" max="2" width="53.1333333333333" customWidth="true"/>
    <col min="3" max="7" width="15.1333333333333" customWidth="true"/>
  </cols>
  <sheetData>
    <row r="1" customHeight="true" spans="1:7">
      <c r="A1" s="174" t="s">
        <v>181</v>
      </c>
      <c r="B1" s="174"/>
      <c r="C1" s="174"/>
      <c r="D1" s="174"/>
      <c r="E1" s="174"/>
      <c r="F1" s="174"/>
      <c r="G1" s="174"/>
    </row>
    <row r="2" ht="28.5" customHeight="true" spans="1:7">
      <c r="A2" s="57" t="s">
        <v>182</v>
      </c>
      <c r="B2" s="57"/>
      <c r="C2" s="57"/>
      <c r="D2" s="57"/>
      <c r="E2" s="57"/>
      <c r="F2" s="57"/>
      <c r="G2" s="57"/>
    </row>
    <row r="3" ht="20.25" customHeight="true" spans="1:7">
      <c r="A3" s="58" t="str">
        <f>"单位名称："&amp;"玉溪市卫生健康委员会"</f>
        <v>单位名称：玉溪市卫生健康委员会</v>
      </c>
      <c r="B3" s="58"/>
      <c r="C3" s="58"/>
      <c r="D3" s="58"/>
      <c r="E3" s="58"/>
      <c r="F3" s="58"/>
      <c r="G3" s="56" t="s">
        <v>2</v>
      </c>
    </row>
    <row r="4" ht="27" customHeight="true" spans="1:7">
      <c r="A4" s="160" t="s">
        <v>183</v>
      </c>
      <c r="B4" s="160"/>
      <c r="C4" s="160" t="s">
        <v>30</v>
      </c>
      <c r="D4" s="160" t="s">
        <v>33</v>
      </c>
      <c r="E4" s="160"/>
      <c r="F4" s="160"/>
      <c r="G4" s="160" t="s">
        <v>93</v>
      </c>
    </row>
    <row r="5" ht="27" customHeight="true" spans="1:7">
      <c r="A5" s="160" t="s">
        <v>88</v>
      </c>
      <c r="B5" s="160" t="s">
        <v>89</v>
      </c>
      <c r="C5" s="160"/>
      <c r="D5" s="160" t="s">
        <v>32</v>
      </c>
      <c r="E5" s="160" t="s">
        <v>184</v>
      </c>
      <c r="F5" s="160" t="s">
        <v>185</v>
      </c>
      <c r="G5" s="160"/>
    </row>
    <row r="6" ht="20.25" customHeight="true" spans="1:7">
      <c r="A6" s="173" t="s">
        <v>44</v>
      </c>
      <c r="B6" s="173" t="s">
        <v>45</v>
      </c>
      <c r="C6" s="173" t="s">
        <v>46</v>
      </c>
      <c r="D6" s="173" t="s">
        <v>47</v>
      </c>
      <c r="E6" s="173" t="s">
        <v>48</v>
      </c>
      <c r="F6" s="173" t="s">
        <v>49</v>
      </c>
      <c r="G6" s="173">
        <v>7</v>
      </c>
    </row>
    <row r="7" ht="20.25" customHeight="true" spans="1:7">
      <c r="A7" s="163" t="s">
        <v>99</v>
      </c>
      <c r="B7" s="163" t="str">
        <f>"        "&amp;"一般公共服务支出"</f>
        <v>        一般公共服务支出</v>
      </c>
      <c r="C7" s="169">
        <v>882232</v>
      </c>
      <c r="D7" s="166"/>
      <c r="E7" s="169"/>
      <c r="F7" s="169"/>
      <c r="G7" s="169">
        <v>882232</v>
      </c>
    </row>
    <row r="8" ht="20.25" customHeight="true" spans="1:7">
      <c r="A8" s="175" t="s">
        <v>100</v>
      </c>
      <c r="B8" s="175" t="str">
        <f>"        "&amp;"组织事务"</f>
        <v>        组织事务</v>
      </c>
      <c r="C8" s="169">
        <v>680000</v>
      </c>
      <c r="D8" s="166"/>
      <c r="E8" s="169"/>
      <c r="F8" s="169"/>
      <c r="G8" s="169">
        <v>680000</v>
      </c>
    </row>
    <row r="9" ht="20.25" customHeight="true" spans="1:7">
      <c r="A9" s="176" t="s">
        <v>101</v>
      </c>
      <c r="B9" s="176" t="str">
        <f>"        "&amp;"一般行政管理事务"</f>
        <v>        一般行政管理事务</v>
      </c>
      <c r="C9" s="169">
        <v>680000</v>
      </c>
      <c r="D9" s="166"/>
      <c r="E9" s="169"/>
      <c r="F9" s="169"/>
      <c r="G9" s="169">
        <v>680000</v>
      </c>
    </row>
    <row r="10" ht="20.25" customHeight="true" spans="1:7">
      <c r="A10" s="177" t="s">
        <v>102</v>
      </c>
      <c r="B10" s="177" t="str">
        <f>"        "&amp;"市场监督管理事务"</f>
        <v>        市场监督管理事务</v>
      </c>
      <c r="C10" s="170">
        <v>152232</v>
      </c>
      <c r="D10" s="167"/>
      <c r="E10" s="170"/>
      <c r="F10" s="170"/>
      <c r="G10" s="170">
        <v>152232</v>
      </c>
    </row>
    <row r="11" ht="20.25" customHeight="true" spans="1:7">
      <c r="A11" s="178" t="s">
        <v>103</v>
      </c>
      <c r="B11" s="178" t="str">
        <f>"        "&amp;"食品安全监管"</f>
        <v>        食品安全监管</v>
      </c>
      <c r="C11" s="65">
        <v>152232</v>
      </c>
      <c r="D11" s="168"/>
      <c r="E11" s="65"/>
      <c r="F11" s="65"/>
      <c r="G11" s="65">
        <v>152232</v>
      </c>
    </row>
    <row r="12" ht="20.25" customHeight="true" spans="1:7">
      <c r="A12" s="171" t="s">
        <v>104</v>
      </c>
      <c r="B12" s="171" t="str">
        <f>"        "&amp;"其他一般公共服务支出"</f>
        <v>        其他一般公共服务支出</v>
      </c>
      <c r="C12" s="65">
        <v>50000</v>
      </c>
      <c r="D12" s="168"/>
      <c r="E12" s="65"/>
      <c r="F12" s="65"/>
      <c r="G12" s="65">
        <v>50000</v>
      </c>
    </row>
    <row r="13" ht="20.25" customHeight="true" spans="1:7">
      <c r="A13" s="178" t="s">
        <v>105</v>
      </c>
      <c r="B13" s="178" t="str">
        <f>"        "&amp;"其他一般公共服务支出"</f>
        <v>        其他一般公共服务支出</v>
      </c>
      <c r="C13" s="65">
        <v>50000</v>
      </c>
      <c r="D13" s="168"/>
      <c r="E13" s="65"/>
      <c r="F13" s="65"/>
      <c r="G13" s="65">
        <v>50000</v>
      </c>
    </row>
    <row r="14" ht="20.25" customHeight="true" spans="1:7">
      <c r="A14" s="165" t="s">
        <v>106</v>
      </c>
      <c r="B14" s="165" t="str">
        <f>"        "&amp;"科学技术支出"</f>
        <v>        科学技术支出</v>
      </c>
      <c r="C14" s="65">
        <v>3616144.7</v>
      </c>
      <c r="D14" s="168"/>
      <c r="E14" s="65"/>
      <c r="F14" s="65"/>
      <c r="G14" s="65">
        <v>3616144.7</v>
      </c>
    </row>
    <row r="15" ht="20.25" customHeight="true" spans="1:7">
      <c r="A15" s="171" t="s">
        <v>107</v>
      </c>
      <c r="B15" s="171" t="str">
        <f>"        "&amp;"科学技术普及"</f>
        <v>        科学技术普及</v>
      </c>
      <c r="C15" s="65">
        <v>96144.7</v>
      </c>
      <c r="D15" s="168"/>
      <c r="E15" s="65"/>
      <c r="F15" s="65"/>
      <c r="G15" s="65">
        <v>96144.7</v>
      </c>
    </row>
    <row r="16" ht="20.25" customHeight="true" spans="1:7">
      <c r="A16" s="178" t="s">
        <v>108</v>
      </c>
      <c r="B16" s="178" t="str">
        <f>"        "&amp;"科普活动"</f>
        <v>        科普活动</v>
      </c>
      <c r="C16" s="65">
        <v>96144.7</v>
      </c>
      <c r="D16" s="168"/>
      <c r="E16" s="65"/>
      <c r="F16" s="65"/>
      <c r="G16" s="65">
        <v>96144.7</v>
      </c>
    </row>
    <row r="17" ht="20.25" customHeight="true" spans="1:7">
      <c r="A17" s="171" t="s">
        <v>109</v>
      </c>
      <c r="B17" s="171" t="str">
        <f>"        "&amp;"其他科学技术支出"</f>
        <v>        其他科学技术支出</v>
      </c>
      <c r="C17" s="65">
        <v>3520000</v>
      </c>
      <c r="D17" s="168"/>
      <c r="E17" s="65"/>
      <c r="F17" s="65"/>
      <c r="G17" s="65">
        <v>3520000</v>
      </c>
    </row>
    <row r="18" ht="20.25" customHeight="true" spans="1:7">
      <c r="A18" s="178" t="s">
        <v>110</v>
      </c>
      <c r="B18" s="178" t="str">
        <f>"        "&amp;"其他科学技术支出"</f>
        <v>        其他科学技术支出</v>
      </c>
      <c r="C18" s="65">
        <v>3520000</v>
      </c>
      <c r="D18" s="168"/>
      <c r="E18" s="65"/>
      <c r="F18" s="65"/>
      <c r="G18" s="65">
        <v>3520000</v>
      </c>
    </row>
    <row r="19" ht="20.25" customHeight="true" spans="1:7">
      <c r="A19" s="165" t="s">
        <v>111</v>
      </c>
      <c r="B19" s="165" t="str">
        <f>"        "&amp;"社会保障和就业支出"</f>
        <v>        社会保障和就业支出</v>
      </c>
      <c r="C19" s="65">
        <v>65715462.39</v>
      </c>
      <c r="D19" s="168">
        <v>65715462.39</v>
      </c>
      <c r="E19" s="65">
        <v>65561362.39</v>
      </c>
      <c r="F19" s="65">
        <v>154100</v>
      </c>
      <c r="G19" s="65"/>
    </row>
    <row r="20" ht="20.25" customHeight="true" spans="1:7">
      <c r="A20" s="171" t="s">
        <v>112</v>
      </c>
      <c r="B20" s="171" t="str">
        <f>"        "&amp;"行政事业单位养老支出"</f>
        <v>        行政事业单位养老支出</v>
      </c>
      <c r="C20" s="65">
        <v>65515662.39</v>
      </c>
      <c r="D20" s="168">
        <v>65515662.39</v>
      </c>
      <c r="E20" s="65">
        <v>65361562.39</v>
      </c>
      <c r="F20" s="65">
        <v>154100</v>
      </c>
      <c r="G20" s="65"/>
    </row>
    <row r="21" ht="20.25" customHeight="true" spans="1:7">
      <c r="A21" s="178" t="s">
        <v>113</v>
      </c>
      <c r="B21" s="178" t="str">
        <f>"        "&amp;"行政单位离退休"</f>
        <v>        行政单位离退休</v>
      </c>
      <c r="C21" s="65">
        <v>2646152</v>
      </c>
      <c r="D21" s="168">
        <v>2646152</v>
      </c>
      <c r="E21" s="65">
        <v>2598852</v>
      </c>
      <c r="F21" s="65">
        <v>47300</v>
      </c>
      <c r="G21" s="65"/>
    </row>
    <row r="22" ht="20.25" customHeight="true" spans="1:7">
      <c r="A22" s="178" t="s">
        <v>114</v>
      </c>
      <c r="B22" s="178" t="str">
        <f>"        "&amp;"事业单位离退休"</f>
        <v>        事业单位离退休</v>
      </c>
      <c r="C22" s="65">
        <v>34279200</v>
      </c>
      <c r="D22" s="168">
        <v>34279200</v>
      </c>
      <c r="E22" s="65">
        <v>34172400</v>
      </c>
      <c r="F22" s="65">
        <v>106800</v>
      </c>
      <c r="G22" s="65"/>
    </row>
    <row r="23" ht="20.25" customHeight="true" spans="1:7">
      <c r="A23" s="178" t="s">
        <v>115</v>
      </c>
      <c r="B23" s="178" t="str">
        <f>"        "&amp;"机关事业单位基本养老保险缴费支出"</f>
        <v>        机关事业单位基本养老保险缴费支出</v>
      </c>
      <c r="C23" s="65">
        <v>25704760.64</v>
      </c>
      <c r="D23" s="168">
        <v>25704760.64</v>
      </c>
      <c r="E23" s="65">
        <v>25704760.64</v>
      </c>
      <c r="F23" s="65"/>
      <c r="G23" s="65"/>
    </row>
    <row r="24" ht="20.25" customHeight="true" spans="1:7">
      <c r="A24" s="178" t="s">
        <v>116</v>
      </c>
      <c r="B24" s="178" t="str">
        <f>"        "&amp;"机关事业单位职业年金缴费支出"</f>
        <v>        机关事业单位职业年金缴费支出</v>
      </c>
      <c r="C24" s="65">
        <v>2885549.75</v>
      </c>
      <c r="D24" s="168">
        <v>2885549.75</v>
      </c>
      <c r="E24" s="65">
        <v>2885549.75</v>
      </c>
      <c r="F24" s="65"/>
      <c r="G24" s="65"/>
    </row>
    <row r="25" ht="20.25" customHeight="true" spans="1:7">
      <c r="A25" s="171" t="s">
        <v>117</v>
      </c>
      <c r="B25" s="171" t="str">
        <f>"        "&amp;"抚恤"</f>
        <v>        抚恤</v>
      </c>
      <c r="C25" s="65">
        <v>199800</v>
      </c>
      <c r="D25" s="168">
        <v>199800</v>
      </c>
      <c r="E25" s="65">
        <v>199800</v>
      </c>
      <c r="F25" s="65"/>
      <c r="G25" s="65"/>
    </row>
    <row r="26" ht="20.25" customHeight="true" spans="1:7">
      <c r="A26" s="178" t="s">
        <v>118</v>
      </c>
      <c r="B26" s="178" t="str">
        <f>"        "&amp;"死亡抚恤"</f>
        <v>        死亡抚恤</v>
      </c>
      <c r="C26" s="65">
        <v>199800</v>
      </c>
      <c r="D26" s="168">
        <v>199800</v>
      </c>
      <c r="E26" s="65">
        <v>199800</v>
      </c>
      <c r="F26" s="65"/>
      <c r="G26" s="65"/>
    </row>
    <row r="27" ht="20.25" customHeight="true" spans="1:7">
      <c r="A27" s="165" t="s">
        <v>121</v>
      </c>
      <c r="B27" s="165" t="str">
        <f>"        "&amp;"卫生健康支出"</f>
        <v>        卫生健康支出</v>
      </c>
      <c r="C27" s="65">
        <v>240462530.58</v>
      </c>
      <c r="D27" s="168">
        <v>91486021.94</v>
      </c>
      <c r="E27" s="65">
        <v>81730975.65</v>
      </c>
      <c r="F27" s="65">
        <v>9755046.29</v>
      </c>
      <c r="G27" s="65">
        <v>148976508.64</v>
      </c>
    </row>
    <row r="28" ht="20.25" customHeight="true" spans="1:7">
      <c r="A28" s="171" t="s">
        <v>122</v>
      </c>
      <c r="B28" s="171" t="str">
        <f>"        "&amp;"卫生健康管理事务"</f>
        <v>        卫生健康管理事务</v>
      </c>
      <c r="C28" s="65">
        <v>40280005.89</v>
      </c>
      <c r="D28" s="168">
        <v>9215899.3</v>
      </c>
      <c r="E28" s="65">
        <v>6497180.23</v>
      </c>
      <c r="F28" s="65">
        <v>2718719.07</v>
      </c>
      <c r="G28" s="65">
        <v>31064106.59</v>
      </c>
    </row>
    <row r="29" ht="20.25" customHeight="true" spans="1:7">
      <c r="A29" s="178" t="s">
        <v>123</v>
      </c>
      <c r="B29" s="178" t="str">
        <f>"        "&amp;"行政运行"</f>
        <v>        行政运行</v>
      </c>
      <c r="C29" s="65">
        <v>7120586.8</v>
      </c>
      <c r="D29" s="168">
        <v>7120586.8</v>
      </c>
      <c r="E29" s="65">
        <v>5611412</v>
      </c>
      <c r="F29" s="65">
        <v>1509174.8</v>
      </c>
      <c r="G29" s="65"/>
    </row>
    <row r="30" ht="20.25" customHeight="true" spans="1:7">
      <c r="A30" s="178" t="s">
        <v>124</v>
      </c>
      <c r="B30" s="178" t="str">
        <f>"        "&amp;"一般行政管理事务"</f>
        <v>        一般行政管理事务</v>
      </c>
      <c r="C30" s="65">
        <v>1249243.47</v>
      </c>
      <c r="D30" s="168">
        <v>1106743.47</v>
      </c>
      <c r="E30" s="65"/>
      <c r="F30" s="65">
        <v>1106743.47</v>
      </c>
      <c r="G30" s="65">
        <v>142500</v>
      </c>
    </row>
    <row r="31" ht="20.25" customHeight="true" spans="1:7">
      <c r="A31" s="178" t="s">
        <v>125</v>
      </c>
      <c r="B31" s="178" t="str">
        <f>"        "&amp;"机关服务"</f>
        <v>        机关服务</v>
      </c>
      <c r="C31" s="65">
        <v>988569.03</v>
      </c>
      <c r="D31" s="168">
        <v>988569.03</v>
      </c>
      <c r="E31" s="65">
        <v>885768.23</v>
      </c>
      <c r="F31" s="65">
        <v>102800.8</v>
      </c>
      <c r="G31" s="65"/>
    </row>
    <row r="32" ht="20.25" customHeight="true" spans="1:7">
      <c r="A32" s="178" t="s">
        <v>126</v>
      </c>
      <c r="B32" s="178" t="str">
        <f>"        "&amp;"其他卫生健康管理事务支出"</f>
        <v>        其他卫生健康管理事务支出</v>
      </c>
      <c r="C32" s="65">
        <v>30921606.59</v>
      </c>
      <c r="D32" s="168"/>
      <c r="E32" s="65"/>
      <c r="F32" s="65"/>
      <c r="G32" s="65">
        <v>30921606.59</v>
      </c>
    </row>
    <row r="33" ht="20.25" customHeight="true" spans="1:7">
      <c r="A33" s="171" t="s">
        <v>127</v>
      </c>
      <c r="B33" s="171" t="str">
        <f>"        "&amp;"公立医院"</f>
        <v>        公立医院</v>
      </c>
      <c r="C33" s="65">
        <v>47012221.04</v>
      </c>
      <c r="D33" s="168">
        <v>12849966.49</v>
      </c>
      <c r="E33" s="65">
        <v>12771366.49</v>
      </c>
      <c r="F33" s="65">
        <v>78600</v>
      </c>
      <c r="G33" s="65">
        <v>34162254.55</v>
      </c>
    </row>
    <row r="34" ht="20.25" customHeight="true" spans="1:7">
      <c r="A34" s="178" t="s">
        <v>128</v>
      </c>
      <c r="B34" s="178" t="str">
        <f>"        "&amp;"综合医院"</f>
        <v>        综合医院</v>
      </c>
      <c r="C34" s="65">
        <v>11183416.49</v>
      </c>
      <c r="D34" s="168">
        <v>9001366.49</v>
      </c>
      <c r="E34" s="65">
        <v>9001366.49</v>
      </c>
      <c r="F34" s="65"/>
      <c r="G34" s="65">
        <v>2182050</v>
      </c>
    </row>
    <row r="35" ht="20.25" customHeight="true" spans="1:7">
      <c r="A35" s="178" t="s">
        <v>129</v>
      </c>
      <c r="B35" s="178" t="str">
        <f>"        "&amp;"中医（民族）医院"</f>
        <v>        中医（民族）医院</v>
      </c>
      <c r="C35" s="65">
        <v>346260</v>
      </c>
      <c r="D35" s="168"/>
      <c r="E35" s="65"/>
      <c r="F35" s="65"/>
      <c r="G35" s="65">
        <v>346260</v>
      </c>
    </row>
    <row r="36" ht="20.25" customHeight="true" spans="1:7">
      <c r="A36" s="178" t="s">
        <v>130</v>
      </c>
      <c r="B36" s="178" t="str">
        <f>"        "&amp;"精神病医院"</f>
        <v>        精神病医院</v>
      </c>
      <c r="C36" s="65">
        <v>3808090</v>
      </c>
      <c r="D36" s="168">
        <v>3770000</v>
      </c>
      <c r="E36" s="65">
        <v>3770000</v>
      </c>
      <c r="F36" s="65"/>
      <c r="G36" s="65">
        <v>38090</v>
      </c>
    </row>
    <row r="37" ht="20.25" customHeight="true" spans="1:7">
      <c r="A37" s="178" t="s">
        <v>131</v>
      </c>
      <c r="B37" s="178" t="str">
        <f>"        "&amp;"儿童医院"</f>
        <v>        儿童医院</v>
      </c>
      <c r="C37" s="65">
        <v>2120000</v>
      </c>
      <c r="D37" s="168"/>
      <c r="E37" s="65"/>
      <c r="F37" s="65"/>
      <c r="G37" s="65">
        <v>2120000</v>
      </c>
    </row>
    <row r="38" ht="20.25" customHeight="true" spans="1:7">
      <c r="A38" s="178" t="s">
        <v>132</v>
      </c>
      <c r="B38" s="178" t="str">
        <f>"        "&amp;"其他公立医院支出"</f>
        <v>        其他公立医院支出</v>
      </c>
      <c r="C38" s="65">
        <v>29554454.55</v>
      </c>
      <c r="D38" s="168">
        <v>78600</v>
      </c>
      <c r="E38" s="65"/>
      <c r="F38" s="65">
        <v>78600</v>
      </c>
      <c r="G38" s="65">
        <v>29475854.55</v>
      </c>
    </row>
    <row r="39" ht="20.25" customHeight="true" spans="1:7">
      <c r="A39" s="171" t="s">
        <v>133</v>
      </c>
      <c r="B39" s="171" t="str">
        <f>"        "&amp;"基层医疗卫生机构"</f>
        <v>        基层医疗卫生机构</v>
      </c>
      <c r="C39" s="65">
        <v>5550140</v>
      </c>
      <c r="D39" s="168"/>
      <c r="E39" s="65"/>
      <c r="F39" s="65"/>
      <c r="G39" s="65">
        <v>5550140</v>
      </c>
    </row>
    <row r="40" ht="20.25" customHeight="true" spans="1:7">
      <c r="A40" s="178" t="s">
        <v>134</v>
      </c>
      <c r="B40" s="178" t="str">
        <f>"        "&amp;"其他基层医疗卫生机构支出"</f>
        <v>        其他基层医疗卫生机构支出</v>
      </c>
      <c r="C40" s="65">
        <v>5550140</v>
      </c>
      <c r="D40" s="168"/>
      <c r="E40" s="65"/>
      <c r="F40" s="65"/>
      <c r="G40" s="65">
        <v>5550140</v>
      </c>
    </row>
    <row r="41" ht="20.25" customHeight="true" spans="1:7">
      <c r="A41" s="171" t="s">
        <v>135</v>
      </c>
      <c r="B41" s="171" t="str">
        <f>"        "&amp;"公共卫生"</f>
        <v>        公共卫生</v>
      </c>
      <c r="C41" s="65">
        <v>89932834.37</v>
      </c>
      <c r="D41" s="168">
        <v>53086438.86</v>
      </c>
      <c r="E41" s="65">
        <v>46128711.64</v>
      </c>
      <c r="F41" s="65">
        <v>6957727.22</v>
      </c>
      <c r="G41" s="65">
        <v>36846395.51</v>
      </c>
    </row>
    <row r="42" ht="20.25" customHeight="true" spans="1:7">
      <c r="A42" s="178" t="s">
        <v>136</v>
      </c>
      <c r="B42" s="178" t="str">
        <f>"        "&amp;"疾病预防控制机构"</f>
        <v>        疾病预防控制机构</v>
      </c>
      <c r="C42" s="65">
        <v>16612131.76</v>
      </c>
      <c r="D42" s="168">
        <v>16612131.76</v>
      </c>
      <c r="E42" s="65">
        <v>14847772.56</v>
      </c>
      <c r="F42" s="65">
        <v>1764359.2</v>
      </c>
      <c r="G42" s="65"/>
    </row>
    <row r="43" ht="20.25" customHeight="true" spans="1:7">
      <c r="A43" s="178" t="s">
        <v>137</v>
      </c>
      <c r="B43" s="178" t="str">
        <f>"        "&amp;"卫生监督机构"</f>
        <v>        卫生监督机构</v>
      </c>
      <c r="C43" s="65">
        <v>5706231.5</v>
      </c>
      <c r="D43" s="168">
        <v>5676231.5</v>
      </c>
      <c r="E43" s="65">
        <v>4555234.22</v>
      </c>
      <c r="F43" s="65">
        <v>1120997.28</v>
      </c>
      <c r="G43" s="65">
        <v>30000</v>
      </c>
    </row>
    <row r="44" ht="20.25" customHeight="true" spans="1:7">
      <c r="A44" s="178" t="s">
        <v>138</v>
      </c>
      <c r="B44" s="178" t="str">
        <f>"        "&amp;"妇幼保健机构"</f>
        <v>        妇幼保健机构</v>
      </c>
      <c r="C44" s="65">
        <v>16519362.57</v>
      </c>
      <c r="D44" s="168">
        <v>16023038.08</v>
      </c>
      <c r="E44" s="65">
        <v>14509247.04</v>
      </c>
      <c r="F44" s="65">
        <v>1513791.04</v>
      </c>
      <c r="G44" s="65">
        <v>496324.49</v>
      </c>
    </row>
    <row r="45" ht="20.25" customHeight="true" spans="1:7">
      <c r="A45" s="178" t="s">
        <v>139</v>
      </c>
      <c r="B45" s="178" t="str">
        <f>"        "&amp;"应急救治机构"</f>
        <v>        应急救治机构</v>
      </c>
      <c r="C45" s="65">
        <v>8353939.79</v>
      </c>
      <c r="D45" s="168">
        <v>8353939.79</v>
      </c>
      <c r="E45" s="65">
        <v>6930250.89</v>
      </c>
      <c r="F45" s="65">
        <v>1423688.9</v>
      </c>
      <c r="G45" s="65"/>
    </row>
    <row r="46" ht="20.25" customHeight="true" spans="1:7">
      <c r="A46" s="178" t="s">
        <v>140</v>
      </c>
      <c r="B46" s="178" t="str">
        <f>"        "&amp;"采供血机构"</f>
        <v>        采供血机构</v>
      </c>
      <c r="C46" s="65">
        <v>6421097.73</v>
      </c>
      <c r="D46" s="168">
        <v>6421097.73</v>
      </c>
      <c r="E46" s="65">
        <v>5286206.93</v>
      </c>
      <c r="F46" s="65">
        <v>1134890.8</v>
      </c>
      <c r="G46" s="65"/>
    </row>
    <row r="47" ht="20.25" customHeight="true" spans="1:7">
      <c r="A47" s="178" t="s">
        <v>141</v>
      </c>
      <c r="B47" s="178" t="str">
        <f>"        "&amp;"基本公共卫生服务"</f>
        <v>        基本公共卫生服务</v>
      </c>
      <c r="C47" s="65">
        <v>14485259.25</v>
      </c>
      <c r="D47" s="168"/>
      <c r="E47" s="65"/>
      <c r="F47" s="65"/>
      <c r="G47" s="65">
        <v>14485259.25</v>
      </c>
    </row>
    <row r="48" ht="20.25" customHeight="true" spans="1:7">
      <c r="A48" s="178" t="s">
        <v>142</v>
      </c>
      <c r="B48" s="178" t="str">
        <f>"        "&amp;"重大公共卫生服务"</f>
        <v>        重大公共卫生服务</v>
      </c>
      <c r="C48" s="65">
        <v>21834811.77</v>
      </c>
      <c r="D48" s="168"/>
      <c r="E48" s="65"/>
      <c r="F48" s="65"/>
      <c r="G48" s="65">
        <v>21834811.77</v>
      </c>
    </row>
    <row r="49" ht="20.25" customHeight="true" spans="1:7">
      <c r="A49" s="171" t="s">
        <v>143</v>
      </c>
      <c r="B49" s="171" t="str">
        <f>"        "&amp;"计划生育事务"</f>
        <v>        计划生育事务</v>
      </c>
      <c r="C49" s="65">
        <v>13052900</v>
      </c>
      <c r="D49" s="168"/>
      <c r="E49" s="65"/>
      <c r="F49" s="65"/>
      <c r="G49" s="65">
        <v>13052900</v>
      </c>
    </row>
    <row r="50" ht="20.25" customHeight="true" spans="1:7">
      <c r="A50" s="178" t="s">
        <v>144</v>
      </c>
      <c r="B50" s="178" t="str">
        <f>"        "&amp;"计划生育服务"</f>
        <v>        计划生育服务</v>
      </c>
      <c r="C50" s="65">
        <v>12709100</v>
      </c>
      <c r="D50" s="168"/>
      <c r="E50" s="65"/>
      <c r="F50" s="65"/>
      <c r="G50" s="65">
        <v>12709100</v>
      </c>
    </row>
    <row r="51" ht="20.25" customHeight="true" spans="1:7">
      <c r="A51" s="178" t="s">
        <v>145</v>
      </c>
      <c r="B51" s="178" t="str">
        <f>"        "&amp;"其他计划生育事务支出"</f>
        <v>        其他计划生育事务支出</v>
      </c>
      <c r="C51" s="65">
        <v>343800</v>
      </c>
      <c r="D51" s="168"/>
      <c r="E51" s="65"/>
      <c r="F51" s="65"/>
      <c r="G51" s="65">
        <v>343800</v>
      </c>
    </row>
    <row r="52" ht="20.25" customHeight="true" spans="1:7">
      <c r="A52" s="171" t="s">
        <v>146</v>
      </c>
      <c r="B52" s="171" t="str">
        <f>"        "&amp;"行政事业单位医疗"</f>
        <v>        行政事业单位医疗</v>
      </c>
      <c r="C52" s="65">
        <v>16333717.29</v>
      </c>
      <c r="D52" s="168">
        <v>16333717.29</v>
      </c>
      <c r="E52" s="65">
        <v>16333717.29</v>
      </c>
      <c r="F52" s="65"/>
      <c r="G52" s="65"/>
    </row>
    <row r="53" ht="20.25" customHeight="true" spans="1:7">
      <c r="A53" s="178" t="s">
        <v>147</v>
      </c>
      <c r="B53" s="178" t="str">
        <f>"        "&amp;"行政单位医疗"</f>
        <v>        行政单位医疗</v>
      </c>
      <c r="C53" s="65">
        <v>903269.11</v>
      </c>
      <c r="D53" s="168">
        <v>903269.11</v>
      </c>
      <c r="E53" s="65">
        <v>903269.11</v>
      </c>
      <c r="F53" s="65"/>
      <c r="G53" s="65"/>
    </row>
    <row r="54" ht="20.25" customHeight="true" spans="1:7">
      <c r="A54" s="178" t="s">
        <v>148</v>
      </c>
      <c r="B54" s="178" t="str">
        <f>"        "&amp;"事业单位医疗"</f>
        <v>        事业单位医疗</v>
      </c>
      <c r="C54" s="65">
        <v>6956284.52</v>
      </c>
      <c r="D54" s="168">
        <v>6956284.52</v>
      </c>
      <c r="E54" s="65">
        <v>6956284.52</v>
      </c>
      <c r="F54" s="65"/>
      <c r="G54" s="65"/>
    </row>
    <row r="55" ht="20.25" customHeight="true" spans="1:7">
      <c r="A55" s="178" t="s">
        <v>149</v>
      </c>
      <c r="B55" s="178" t="str">
        <f>"        "&amp;"公务员医疗补助"</f>
        <v>        公务员医疗补助</v>
      </c>
      <c r="C55" s="65">
        <v>8044771.85</v>
      </c>
      <c r="D55" s="168">
        <v>8044771.85</v>
      </c>
      <c r="E55" s="65">
        <v>8044771.85</v>
      </c>
      <c r="F55" s="65"/>
      <c r="G55" s="65"/>
    </row>
    <row r="56" ht="20.25" customHeight="true" spans="1:7">
      <c r="A56" s="178" t="s">
        <v>150</v>
      </c>
      <c r="B56" s="178" t="str">
        <f>"        "&amp;"其他行政事业单位医疗支出"</f>
        <v>        其他行政事业单位医疗支出</v>
      </c>
      <c r="C56" s="65">
        <v>429391.81</v>
      </c>
      <c r="D56" s="168">
        <v>429391.81</v>
      </c>
      <c r="E56" s="65">
        <v>429391.81</v>
      </c>
      <c r="F56" s="65"/>
      <c r="G56" s="65"/>
    </row>
    <row r="57" ht="20.25" customHeight="true" spans="1:7">
      <c r="A57" s="171" t="s">
        <v>151</v>
      </c>
      <c r="B57" s="171" t="str">
        <f>"        "&amp;"中医药事务"</f>
        <v>        中医药事务</v>
      </c>
      <c r="C57" s="65">
        <v>3610212.36</v>
      </c>
      <c r="D57" s="168"/>
      <c r="E57" s="65"/>
      <c r="F57" s="65"/>
      <c r="G57" s="65">
        <v>3610212.36</v>
      </c>
    </row>
    <row r="58" ht="20.25" customHeight="true" spans="1:7">
      <c r="A58" s="178" t="s">
        <v>152</v>
      </c>
      <c r="B58" s="178" t="str">
        <f>"        "&amp;"中医（民族医）药专项"</f>
        <v>        中医（民族医）药专项</v>
      </c>
      <c r="C58" s="65">
        <v>3610212.36</v>
      </c>
      <c r="D58" s="168"/>
      <c r="E58" s="65"/>
      <c r="F58" s="65"/>
      <c r="G58" s="65">
        <v>3610212.36</v>
      </c>
    </row>
    <row r="59" ht="20.25" customHeight="true" spans="1:7">
      <c r="A59" s="171" t="s">
        <v>153</v>
      </c>
      <c r="B59" s="171" t="str">
        <f>"        "&amp;"其他卫生健康支出"</f>
        <v>        其他卫生健康支出</v>
      </c>
      <c r="C59" s="65">
        <v>24690499.63</v>
      </c>
      <c r="D59" s="168"/>
      <c r="E59" s="65"/>
      <c r="F59" s="65"/>
      <c r="G59" s="65">
        <v>24690499.63</v>
      </c>
    </row>
    <row r="60" ht="20.25" customHeight="true" spans="1:7">
      <c r="A60" s="178" t="s">
        <v>154</v>
      </c>
      <c r="B60" s="178" t="str">
        <f>"        "&amp;"其他卫生健康支出"</f>
        <v>        其他卫生健康支出</v>
      </c>
      <c r="C60" s="65">
        <v>24690499.63</v>
      </c>
      <c r="D60" s="168"/>
      <c r="E60" s="65"/>
      <c r="F60" s="65"/>
      <c r="G60" s="65">
        <v>24690499.63</v>
      </c>
    </row>
    <row r="61" ht="20.25" customHeight="true" spans="1:7">
      <c r="A61" s="165" t="s">
        <v>158</v>
      </c>
      <c r="B61" s="165" t="str">
        <f>"        "&amp;"住房保障支出"</f>
        <v>        住房保障支出</v>
      </c>
      <c r="C61" s="65">
        <v>11837552</v>
      </c>
      <c r="D61" s="168">
        <v>11837552</v>
      </c>
      <c r="E61" s="65">
        <v>11837552</v>
      </c>
      <c r="F61" s="65"/>
      <c r="G61" s="65"/>
    </row>
    <row r="62" ht="20.25" customHeight="true" spans="1:7">
      <c r="A62" s="171" t="s">
        <v>159</v>
      </c>
      <c r="B62" s="171" t="str">
        <f>"        "&amp;"住房改革支出"</f>
        <v>        住房改革支出</v>
      </c>
      <c r="C62" s="65">
        <v>11837552</v>
      </c>
      <c r="D62" s="168">
        <v>11837552</v>
      </c>
      <c r="E62" s="65">
        <v>11837552</v>
      </c>
      <c r="F62" s="65"/>
      <c r="G62" s="65"/>
    </row>
    <row r="63" ht="20.25" customHeight="true" spans="1:7">
      <c r="A63" s="178" t="s">
        <v>160</v>
      </c>
      <c r="B63" s="178" t="str">
        <f>"        "&amp;"住房公积金"</f>
        <v>        住房公积金</v>
      </c>
      <c r="C63" s="65">
        <v>11387864</v>
      </c>
      <c r="D63" s="168">
        <v>11387864</v>
      </c>
      <c r="E63" s="65">
        <v>11387864</v>
      </c>
      <c r="F63" s="65"/>
      <c r="G63" s="65"/>
    </row>
    <row r="64" ht="20.25" customHeight="true" spans="1:7">
      <c r="A64" s="178" t="s">
        <v>161</v>
      </c>
      <c r="B64" s="178" t="str">
        <f>"        "&amp;"购房补贴"</f>
        <v>        购房补贴</v>
      </c>
      <c r="C64" s="65">
        <v>449688</v>
      </c>
      <c r="D64" s="168">
        <v>449688</v>
      </c>
      <c r="E64" s="65">
        <v>449688</v>
      </c>
      <c r="F64" s="65"/>
      <c r="G64" s="65"/>
    </row>
    <row r="65" ht="20.25" customHeight="true" spans="1:7">
      <c r="A65" s="165" t="s">
        <v>165</v>
      </c>
      <c r="B65" s="165" t="str">
        <f>"        "&amp;"转移性支出"</f>
        <v>        转移性支出</v>
      </c>
      <c r="C65" s="65">
        <v>247054700</v>
      </c>
      <c r="D65" s="168"/>
      <c r="E65" s="65"/>
      <c r="F65" s="65"/>
      <c r="G65" s="65">
        <v>247054700</v>
      </c>
    </row>
    <row r="66" ht="20.25" customHeight="true" spans="1:7">
      <c r="A66" s="171" t="s">
        <v>166</v>
      </c>
      <c r="B66" s="171" t="str">
        <f>"        "&amp;"一般性转移支付"</f>
        <v>        一般性转移支付</v>
      </c>
      <c r="C66" s="65">
        <v>247054700</v>
      </c>
      <c r="D66" s="168"/>
      <c r="E66" s="65"/>
      <c r="F66" s="65"/>
      <c r="G66" s="65">
        <v>247054700</v>
      </c>
    </row>
    <row r="67" ht="20.25" customHeight="true" spans="1:7">
      <c r="A67" s="178" t="s">
        <v>167</v>
      </c>
      <c r="B67" s="178" t="str">
        <f>"        "&amp;"医疗卫生共同财政事权转移支付支出"</f>
        <v>        医疗卫生共同财政事权转移支付支出</v>
      </c>
      <c r="C67" s="65">
        <v>247054700</v>
      </c>
      <c r="D67" s="168"/>
      <c r="E67" s="65"/>
      <c r="F67" s="65"/>
      <c r="G67" s="65">
        <v>247054700</v>
      </c>
    </row>
    <row r="68" ht="20.25" customHeight="true" spans="1:7">
      <c r="A68" s="172" t="s">
        <v>30</v>
      </c>
      <c r="B68" s="165"/>
      <c r="C68" s="168">
        <v>569568621.67</v>
      </c>
      <c r="D68" s="168">
        <v>169039036.33</v>
      </c>
      <c r="E68" s="168">
        <v>159129890.04</v>
      </c>
      <c r="F68" s="168">
        <v>9909146.29</v>
      </c>
      <c r="G68" s="168">
        <v>400529585.34</v>
      </c>
    </row>
  </sheetData>
  <mergeCells count="8">
    <mergeCell ref="A1:G1"/>
    <mergeCell ref="A2:G2"/>
    <mergeCell ref="A3:F3"/>
    <mergeCell ref="A4:B4"/>
    <mergeCell ref="D4:F4"/>
    <mergeCell ref="A68:B68"/>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7"/>
  <sheetViews>
    <sheetView showZeros="0" tabSelected="1" workbookViewId="0">
      <selection activeCell="C27" sqref="C27"/>
    </sheetView>
  </sheetViews>
  <sheetFormatPr defaultColWidth="8.85" defaultRowHeight="15" customHeight="true" outlineLevelRow="6" outlineLevelCol="5"/>
  <cols>
    <col min="1" max="6" width="25.1333333333333" customWidth="true"/>
  </cols>
  <sheetData>
    <row r="1" customHeight="true" spans="1:6">
      <c r="A1" s="56" t="s">
        <v>186</v>
      </c>
      <c r="B1" s="56"/>
      <c r="C1" s="56"/>
      <c r="D1" s="56"/>
      <c r="E1" s="56"/>
      <c r="F1" s="56"/>
    </row>
    <row r="2" ht="28.5" customHeight="true" spans="1:6">
      <c r="A2" s="57" t="s">
        <v>187</v>
      </c>
      <c r="B2" s="57"/>
      <c r="C2" s="57"/>
      <c r="D2" s="57"/>
      <c r="E2" s="57"/>
      <c r="F2" s="57"/>
    </row>
    <row r="3" ht="20.25" customHeight="true" spans="1:6">
      <c r="A3" s="58" t="str">
        <f>"单位名称："&amp;"玉溪市卫生健康委员会"</f>
        <v>单位名称：玉溪市卫生健康委员会</v>
      </c>
      <c r="B3" s="58"/>
      <c r="C3" s="58"/>
      <c r="D3" s="58"/>
      <c r="E3" s="58"/>
      <c r="F3" s="56" t="s">
        <v>2</v>
      </c>
    </row>
    <row r="4" ht="20.25" customHeight="true" spans="1:6">
      <c r="A4" s="159" t="s">
        <v>188</v>
      </c>
      <c r="B4" s="159" t="s">
        <v>189</v>
      </c>
      <c r="C4" s="159" t="s">
        <v>190</v>
      </c>
      <c r="D4" s="159"/>
      <c r="E4" s="159"/>
      <c r="F4" s="159"/>
    </row>
    <row r="5" ht="35.25" customHeight="true" spans="1:6">
      <c r="A5" s="160"/>
      <c r="B5" s="160"/>
      <c r="C5" s="160" t="s">
        <v>32</v>
      </c>
      <c r="D5" s="160" t="s">
        <v>191</v>
      </c>
      <c r="E5" s="160" t="s">
        <v>192</v>
      </c>
      <c r="F5" s="160" t="s">
        <v>193</v>
      </c>
    </row>
    <row r="6" ht="20.25" customHeight="true" spans="1:6">
      <c r="A6" s="173" t="s">
        <v>44</v>
      </c>
      <c r="B6" s="173">
        <v>2</v>
      </c>
      <c r="C6" s="173">
        <v>3</v>
      </c>
      <c r="D6" s="173">
        <v>4</v>
      </c>
      <c r="E6" s="173">
        <v>5</v>
      </c>
      <c r="F6" s="173">
        <v>6</v>
      </c>
    </row>
    <row r="7" ht="20.25" customHeight="true" spans="1:6">
      <c r="A7" s="169">
        <v>1237973.37</v>
      </c>
      <c r="B7" s="169"/>
      <c r="C7" s="169">
        <v>1092973.37</v>
      </c>
      <c r="D7" s="169"/>
      <c r="E7" s="166">
        <v>1092973.37</v>
      </c>
      <c r="F7" s="169">
        <v>145000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W324"/>
  <sheetViews>
    <sheetView showZeros="0" tabSelected="1" workbookViewId="0">
      <selection activeCell="C27" sqref="C27"/>
    </sheetView>
  </sheetViews>
  <sheetFormatPr defaultColWidth="8.85" defaultRowHeight="15" customHeight="true"/>
  <cols>
    <col min="1" max="1" width="40.75" customWidth="true"/>
    <col min="2" max="2" width="20.8416666666667" customWidth="true"/>
    <col min="3" max="3" width="36.5" customWidth="true"/>
    <col min="4" max="4" width="11.1333333333333" customWidth="true"/>
    <col min="5" max="5" width="33.125" customWidth="true"/>
    <col min="6" max="6" width="11.1333333333333" customWidth="true"/>
    <col min="7" max="7" width="24.5" customWidth="true"/>
    <col min="8" max="8" width="16.2833333333333" customWidth="true"/>
    <col min="9" max="9" width="16.4166666666667" customWidth="true"/>
    <col min="10" max="13" width="16.2833333333333" customWidth="true"/>
    <col min="14" max="16" width="16.4166666666667" customWidth="true"/>
    <col min="17" max="22" width="16.2833333333333" customWidth="true"/>
    <col min="23" max="23" width="16.4166666666667" customWidth="true"/>
  </cols>
  <sheetData>
    <row r="1" customHeight="true" spans="1:23">
      <c r="A1" s="56" t="s">
        <v>194</v>
      </c>
      <c r="B1" s="56"/>
      <c r="C1" s="56"/>
      <c r="D1" s="56"/>
      <c r="E1" s="56"/>
      <c r="F1" s="56"/>
      <c r="G1" s="56"/>
      <c r="H1" s="56"/>
      <c r="I1" s="56"/>
      <c r="J1" s="56"/>
      <c r="K1" s="56"/>
      <c r="L1" s="56"/>
      <c r="M1" s="56"/>
      <c r="N1" s="56"/>
      <c r="O1" s="56"/>
      <c r="P1" s="56"/>
      <c r="Q1" s="56"/>
      <c r="R1" s="56"/>
      <c r="S1" s="56"/>
      <c r="T1" s="56"/>
      <c r="U1" s="56"/>
      <c r="V1" s="56"/>
      <c r="W1" s="56"/>
    </row>
    <row r="2" ht="28.5" customHeight="true" spans="1:23">
      <c r="A2" s="57" t="s">
        <v>195</v>
      </c>
      <c r="B2" s="57"/>
      <c r="C2" s="57" t="s">
        <v>196</v>
      </c>
      <c r="D2" s="57"/>
      <c r="E2" s="57"/>
      <c r="F2" s="57"/>
      <c r="G2" s="57"/>
      <c r="H2" s="57"/>
      <c r="I2" s="57"/>
      <c r="J2" s="57"/>
      <c r="K2" s="57"/>
      <c r="L2" s="57"/>
      <c r="M2" s="57"/>
      <c r="N2" s="57"/>
      <c r="O2" s="57"/>
      <c r="P2" s="57"/>
      <c r="Q2" s="57"/>
      <c r="R2" s="57"/>
      <c r="S2" s="57"/>
      <c r="T2" s="57"/>
      <c r="U2" s="57"/>
      <c r="V2" s="57"/>
      <c r="W2" s="57"/>
    </row>
    <row r="3" ht="19.5" customHeight="true" spans="1:23">
      <c r="A3" s="58" t="str">
        <f>"单位名称："&amp;"玉溪市卫生健康委员会"</f>
        <v>单位名称：玉溪市卫生健康委员会</v>
      </c>
      <c r="B3" s="58"/>
      <c r="C3" s="58"/>
      <c r="D3" s="58"/>
      <c r="E3" s="58"/>
      <c r="F3" s="58"/>
      <c r="G3" s="58"/>
      <c r="H3" s="58"/>
      <c r="I3" s="58"/>
      <c r="J3" s="58"/>
      <c r="K3" s="58"/>
      <c r="L3" s="58"/>
      <c r="M3" s="58"/>
      <c r="N3" s="58"/>
      <c r="O3" s="58"/>
      <c r="P3" s="58"/>
      <c r="Q3" s="58"/>
      <c r="R3" s="56"/>
      <c r="S3" s="56"/>
      <c r="T3" s="56"/>
      <c r="U3" s="56"/>
      <c r="V3" s="56"/>
      <c r="W3" s="56" t="s">
        <v>2</v>
      </c>
    </row>
    <row r="4" ht="19.5" customHeight="true" spans="1:23">
      <c r="A4" s="159" t="s">
        <v>197</v>
      </c>
      <c r="B4" s="159" t="s">
        <v>198</v>
      </c>
      <c r="C4" s="159" t="s">
        <v>199</v>
      </c>
      <c r="D4" s="159" t="s">
        <v>200</v>
      </c>
      <c r="E4" s="159" t="s">
        <v>201</v>
      </c>
      <c r="F4" s="159" t="s">
        <v>202</v>
      </c>
      <c r="G4" s="159" t="s">
        <v>203</v>
      </c>
      <c r="H4" s="159" t="s">
        <v>204</v>
      </c>
      <c r="I4" s="159"/>
      <c r="J4" s="159"/>
      <c r="K4" s="159"/>
      <c r="L4" s="159"/>
      <c r="M4" s="159"/>
      <c r="N4" s="159"/>
      <c r="O4" s="159"/>
      <c r="P4" s="159"/>
      <c r="Q4" s="159"/>
      <c r="R4" s="159"/>
      <c r="S4" s="159"/>
      <c r="T4" s="159"/>
      <c r="U4" s="159"/>
      <c r="V4" s="159"/>
      <c r="W4" s="159"/>
    </row>
    <row r="5" ht="19.5" customHeight="true" spans="1:23">
      <c r="A5" s="160"/>
      <c r="B5" s="160"/>
      <c r="C5" s="160"/>
      <c r="D5" s="160"/>
      <c r="E5" s="160"/>
      <c r="F5" s="160"/>
      <c r="G5" s="160"/>
      <c r="H5" s="160" t="s">
        <v>30</v>
      </c>
      <c r="I5" s="160" t="s">
        <v>33</v>
      </c>
      <c r="J5" s="160"/>
      <c r="K5" s="160"/>
      <c r="L5" s="160"/>
      <c r="M5" s="160"/>
      <c r="N5" s="160" t="s">
        <v>205</v>
      </c>
      <c r="O5" s="160"/>
      <c r="P5" s="160"/>
      <c r="Q5" s="160" t="s">
        <v>36</v>
      </c>
      <c r="R5" s="160" t="s">
        <v>91</v>
      </c>
      <c r="S5" s="160"/>
      <c r="T5" s="160"/>
      <c r="U5" s="160"/>
      <c r="V5" s="160"/>
      <c r="W5" s="160"/>
    </row>
    <row r="6" ht="41.25" customHeight="true" spans="1:23">
      <c r="A6" s="160"/>
      <c r="B6" s="160"/>
      <c r="C6" s="160"/>
      <c r="D6" s="160"/>
      <c r="E6" s="160"/>
      <c r="F6" s="160"/>
      <c r="G6" s="160"/>
      <c r="H6" s="160"/>
      <c r="I6" s="160" t="s">
        <v>206</v>
      </c>
      <c r="J6" s="160" t="s">
        <v>207</v>
      </c>
      <c r="K6" s="160" t="s">
        <v>208</v>
      </c>
      <c r="L6" s="160" t="s">
        <v>209</v>
      </c>
      <c r="M6" s="160" t="s">
        <v>210</v>
      </c>
      <c r="N6" s="160" t="s">
        <v>33</v>
      </c>
      <c r="O6" s="160" t="s">
        <v>34</v>
      </c>
      <c r="P6" s="160" t="s">
        <v>35</v>
      </c>
      <c r="Q6" s="160"/>
      <c r="R6" s="160" t="s">
        <v>32</v>
      </c>
      <c r="S6" s="160" t="s">
        <v>39</v>
      </c>
      <c r="T6" s="160" t="s">
        <v>211</v>
      </c>
      <c r="U6" s="160" t="s">
        <v>41</v>
      </c>
      <c r="V6" s="160" t="s">
        <v>42</v>
      </c>
      <c r="W6" s="160" t="s">
        <v>43</v>
      </c>
    </row>
    <row r="7" ht="20.25" customHeight="true" spans="1:23">
      <c r="A7" s="161" t="s">
        <v>44</v>
      </c>
      <c r="B7" s="161" t="s">
        <v>45</v>
      </c>
      <c r="C7" s="161" t="s">
        <v>46</v>
      </c>
      <c r="D7" s="161" t="s">
        <v>47</v>
      </c>
      <c r="E7" s="161" t="s">
        <v>48</v>
      </c>
      <c r="F7" s="161" t="s">
        <v>49</v>
      </c>
      <c r="G7" s="161" t="s">
        <v>50</v>
      </c>
      <c r="H7" s="161" t="s">
        <v>51</v>
      </c>
      <c r="I7" s="161" t="s">
        <v>52</v>
      </c>
      <c r="J7" s="161" t="s">
        <v>53</v>
      </c>
      <c r="K7" s="161" t="s">
        <v>54</v>
      </c>
      <c r="L7" s="161" t="s">
        <v>55</v>
      </c>
      <c r="M7" s="161" t="s">
        <v>56</v>
      </c>
      <c r="N7" s="161" t="s">
        <v>57</v>
      </c>
      <c r="O7" s="161" t="s">
        <v>58</v>
      </c>
      <c r="P7" s="161" t="s">
        <v>59</v>
      </c>
      <c r="Q7" s="161" t="s">
        <v>60</v>
      </c>
      <c r="R7" s="161" t="s">
        <v>61</v>
      </c>
      <c r="S7" s="161" t="s">
        <v>62</v>
      </c>
      <c r="T7" s="161" t="s">
        <v>212</v>
      </c>
      <c r="U7" s="161" t="s">
        <v>213</v>
      </c>
      <c r="V7" s="161" t="s">
        <v>214</v>
      </c>
      <c r="W7" s="161" t="s">
        <v>215</v>
      </c>
    </row>
    <row r="8" ht="20.25" customHeight="true" spans="1:23">
      <c r="A8" s="162" t="s">
        <v>64</v>
      </c>
      <c r="B8" s="162"/>
      <c r="C8" s="163"/>
      <c r="D8" s="163"/>
      <c r="E8" s="163"/>
      <c r="F8" s="162"/>
      <c r="G8" s="163"/>
      <c r="H8" s="166">
        <v>1148245177.78</v>
      </c>
      <c r="I8" s="169">
        <v>169039036.33</v>
      </c>
      <c r="J8" s="169">
        <v>43590152.61</v>
      </c>
      <c r="K8" s="169"/>
      <c r="L8" s="169">
        <v>125448883.72</v>
      </c>
      <c r="M8" s="169"/>
      <c r="N8" s="169"/>
      <c r="O8" s="169"/>
      <c r="P8" s="169"/>
      <c r="Q8" s="169"/>
      <c r="R8" s="169">
        <v>979206141.45</v>
      </c>
      <c r="S8" s="169">
        <v>979201041.45</v>
      </c>
      <c r="T8" s="169"/>
      <c r="U8" s="169"/>
      <c r="V8" s="169"/>
      <c r="W8" s="169">
        <v>5100</v>
      </c>
    </row>
    <row r="9" ht="20.25" customHeight="true" spans="1:23">
      <c r="A9" s="162" t="s">
        <v>64</v>
      </c>
      <c r="B9" s="163"/>
      <c r="C9" s="163"/>
      <c r="D9" s="163"/>
      <c r="E9" s="163"/>
      <c r="F9" s="163"/>
      <c r="G9" s="163"/>
      <c r="H9" s="166">
        <v>14159751.63</v>
      </c>
      <c r="I9" s="169">
        <v>14159751.63</v>
      </c>
      <c r="J9" s="169">
        <v>5682809.39</v>
      </c>
      <c r="K9" s="169"/>
      <c r="L9" s="169">
        <v>8476942.24</v>
      </c>
      <c r="M9" s="169"/>
      <c r="N9" s="169"/>
      <c r="O9" s="169"/>
      <c r="P9" s="169"/>
      <c r="Q9" s="169"/>
      <c r="R9" s="169"/>
      <c r="S9" s="169"/>
      <c r="T9" s="169"/>
      <c r="U9" s="169"/>
      <c r="V9" s="169"/>
      <c r="W9" s="169"/>
    </row>
    <row r="10" ht="20.25" customHeight="true" spans="1:23">
      <c r="A10" s="163" t="str">
        <f t="shared" ref="A10:A66" si="0">"       "&amp;"玉溪市卫生健康委员会"</f>
        <v>       玉溪市卫生健康委员会</v>
      </c>
      <c r="B10" s="163" t="s">
        <v>216</v>
      </c>
      <c r="C10" s="163" t="s">
        <v>217</v>
      </c>
      <c r="D10" s="163" t="s">
        <v>123</v>
      </c>
      <c r="E10" s="163" t="s">
        <v>218</v>
      </c>
      <c r="F10" s="163" t="s">
        <v>219</v>
      </c>
      <c r="G10" s="163" t="s">
        <v>220</v>
      </c>
      <c r="H10" s="166">
        <v>1703184</v>
      </c>
      <c r="I10" s="169">
        <v>1703184</v>
      </c>
      <c r="J10" s="169">
        <v>745143</v>
      </c>
      <c r="K10" s="163"/>
      <c r="L10" s="169">
        <v>958041</v>
      </c>
      <c r="M10" s="163"/>
      <c r="N10" s="169"/>
      <c r="O10" s="169"/>
      <c r="P10" s="163"/>
      <c r="Q10" s="169"/>
      <c r="R10" s="169"/>
      <c r="S10" s="169"/>
      <c r="T10" s="169"/>
      <c r="U10" s="169"/>
      <c r="V10" s="169"/>
      <c r="W10" s="169"/>
    </row>
    <row r="11" ht="20.25" customHeight="true" spans="1:23">
      <c r="A11" s="163" t="str">
        <f t="shared" si="0"/>
        <v>       玉溪市卫生健康委员会</v>
      </c>
      <c r="B11" s="163" t="s">
        <v>216</v>
      </c>
      <c r="C11" s="163" t="s">
        <v>217</v>
      </c>
      <c r="D11" s="163" t="s">
        <v>123</v>
      </c>
      <c r="E11" s="163" t="s">
        <v>218</v>
      </c>
      <c r="F11" s="163" t="s">
        <v>221</v>
      </c>
      <c r="G11" s="163" t="s">
        <v>222</v>
      </c>
      <c r="H11" s="166">
        <v>2103252</v>
      </c>
      <c r="I11" s="169">
        <v>2103252</v>
      </c>
      <c r="J11" s="169">
        <v>920172.75</v>
      </c>
      <c r="K11" s="163"/>
      <c r="L11" s="169">
        <v>1183079.25</v>
      </c>
      <c r="M11" s="163"/>
      <c r="N11" s="169"/>
      <c r="O11" s="169"/>
      <c r="P11" s="163"/>
      <c r="Q11" s="169"/>
      <c r="R11" s="169"/>
      <c r="S11" s="169"/>
      <c r="T11" s="169"/>
      <c r="U11" s="169"/>
      <c r="V11" s="169"/>
      <c r="W11" s="169"/>
    </row>
    <row r="12" ht="20.25" customHeight="true" spans="1:23">
      <c r="A12" s="163" t="str">
        <f t="shared" si="0"/>
        <v>       玉溪市卫生健康委员会</v>
      </c>
      <c r="B12" s="163" t="s">
        <v>216</v>
      </c>
      <c r="C12" s="163" t="s">
        <v>217</v>
      </c>
      <c r="D12" s="163" t="s">
        <v>161</v>
      </c>
      <c r="E12" s="163" t="s">
        <v>223</v>
      </c>
      <c r="F12" s="163" t="s">
        <v>221</v>
      </c>
      <c r="G12" s="163" t="s">
        <v>222</v>
      </c>
      <c r="H12" s="166">
        <v>35304</v>
      </c>
      <c r="I12" s="169">
        <v>35304</v>
      </c>
      <c r="J12" s="169"/>
      <c r="K12" s="163"/>
      <c r="L12" s="169">
        <v>35304</v>
      </c>
      <c r="M12" s="163"/>
      <c r="N12" s="169"/>
      <c r="O12" s="169"/>
      <c r="P12" s="163"/>
      <c r="Q12" s="169"/>
      <c r="R12" s="169"/>
      <c r="S12" s="169"/>
      <c r="T12" s="169"/>
      <c r="U12" s="169"/>
      <c r="V12" s="169"/>
      <c r="W12" s="169"/>
    </row>
    <row r="13" ht="20.25" customHeight="true" spans="1:23">
      <c r="A13" s="163" t="str">
        <f t="shared" si="0"/>
        <v>       玉溪市卫生健康委员会</v>
      </c>
      <c r="B13" s="163" t="s">
        <v>224</v>
      </c>
      <c r="C13" s="163" t="s">
        <v>225</v>
      </c>
      <c r="D13" s="163" t="s">
        <v>125</v>
      </c>
      <c r="E13" s="163" t="s">
        <v>226</v>
      </c>
      <c r="F13" s="163" t="s">
        <v>219</v>
      </c>
      <c r="G13" s="163" t="s">
        <v>220</v>
      </c>
      <c r="H13" s="166">
        <v>253956</v>
      </c>
      <c r="I13" s="169">
        <v>253956</v>
      </c>
      <c r="J13" s="169">
        <v>111105.75</v>
      </c>
      <c r="K13" s="163"/>
      <c r="L13" s="169">
        <v>142850.25</v>
      </c>
      <c r="M13" s="163"/>
      <c r="N13" s="169"/>
      <c r="O13" s="169"/>
      <c r="P13" s="163"/>
      <c r="Q13" s="169"/>
      <c r="R13" s="169"/>
      <c r="S13" s="169"/>
      <c r="T13" s="169"/>
      <c r="U13" s="169"/>
      <c r="V13" s="169"/>
      <c r="W13" s="169"/>
    </row>
    <row r="14" ht="20.25" customHeight="true" spans="1:23">
      <c r="A14" s="163" t="str">
        <f t="shared" si="0"/>
        <v>       玉溪市卫生健康委员会</v>
      </c>
      <c r="B14" s="163" t="s">
        <v>224</v>
      </c>
      <c r="C14" s="163" t="s">
        <v>225</v>
      </c>
      <c r="D14" s="163" t="s">
        <v>125</v>
      </c>
      <c r="E14" s="163" t="s">
        <v>226</v>
      </c>
      <c r="F14" s="163" t="s">
        <v>227</v>
      </c>
      <c r="G14" s="163" t="s">
        <v>228</v>
      </c>
      <c r="H14" s="166">
        <v>106800</v>
      </c>
      <c r="I14" s="169">
        <v>106800</v>
      </c>
      <c r="J14" s="169">
        <v>46725</v>
      </c>
      <c r="K14" s="163"/>
      <c r="L14" s="169">
        <v>60075</v>
      </c>
      <c r="M14" s="163"/>
      <c r="N14" s="169"/>
      <c r="O14" s="169"/>
      <c r="P14" s="163"/>
      <c r="Q14" s="169"/>
      <c r="R14" s="169"/>
      <c r="S14" s="169"/>
      <c r="T14" s="169"/>
      <c r="U14" s="169"/>
      <c r="V14" s="169"/>
      <c r="W14" s="169"/>
    </row>
    <row r="15" ht="20.25" customHeight="true" spans="1:23">
      <c r="A15" s="163" t="str">
        <f t="shared" si="0"/>
        <v>       玉溪市卫生健康委员会</v>
      </c>
      <c r="B15" s="163" t="s">
        <v>224</v>
      </c>
      <c r="C15" s="163" t="s">
        <v>225</v>
      </c>
      <c r="D15" s="163" t="s">
        <v>161</v>
      </c>
      <c r="E15" s="163" t="s">
        <v>223</v>
      </c>
      <c r="F15" s="163" t="s">
        <v>221</v>
      </c>
      <c r="G15" s="163" t="s">
        <v>222</v>
      </c>
      <c r="H15" s="166">
        <v>13656</v>
      </c>
      <c r="I15" s="169">
        <v>13656</v>
      </c>
      <c r="J15" s="169"/>
      <c r="K15" s="163"/>
      <c r="L15" s="169">
        <v>13656</v>
      </c>
      <c r="M15" s="163"/>
      <c r="N15" s="169"/>
      <c r="O15" s="169"/>
      <c r="P15" s="163"/>
      <c r="Q15" s="169"/>
      <c r="R15" s="169"/>
      <c r="S15" s="169"/>
      <c r="T15" s="169"/>
      <c r="U15" s="169"/>
      <c r="V15" s="169"/>
      <c r="W15" s="169"/>
    </row>
    <row r="16" ht="30" customHeight="true" spans="1:23">
      <c r="A16" s="164" t="str">
        <f t="shared" si="0"/>
        <v>       玉溪市卫生健康委员会</v>
      </c>
      <c r="B16" s="164" t="s">
        <v>229</v>
      </c>
      <c r="C16" s="164" t="s">
        <v>230</v>
      </c>
      <c r="D16" s="164" t="s">
        <v>115</v>
      </c>
      <c r="E16" s="164" t="s">
        <v>231</v>
      </c>
      <c r="F16" s="164" t="s">
        <v>232</v>
      </c>
      <c r="G16" s="164" t="s">
        <v>233</v>
      </c>
      <c r="H16" s="167">
        <v>851667.2</v>
      </c>
      <c r="I16" s="170">
        <v>851667.2</v>
      </c>
      <c r="J16" s="170">
        <v>212916.8</v>
      </c>
      <c r="K16" s="164"/>
      <c r="L16" s="170">
        <v>638750.4</v>
      </c>
      <c r="M16" s="164"/>
      <c r="N16" s="170"/>
      <c r="O16" s="170"/>
      <c r="P16" s="164"/>
      <c r="Q16" s="170"/>
      <c r="R16" s="170"/>
      <c r="S16" s="170"/>
      <c r="T16" s="170"/>
      <c r="U16" s="170"/>
      <c r="V16" s="170"/>
      <c r="W16" s="170"/>
    </row>
    <row r="17" ht="20.25" customHeight="true" spans="1:23">
      <c r="A17" s="165" t="str">
        <f t="shared" si="0"/>
        <v>       玉溪市卫生健康委员会</v>
      </c>
      <c r="B17" s="165" t="s">
        <v>229</v>
      </c>
      <c r="C17" s="165" t="s">
        <v>230</v>
      </c>
      <c r="D17" s="165" t="s">
        <v>125</v>
      </c>
      <c r="E17" s="165" t="s">
        <v>226</v>
      </c>
      <c r="F17" s="165" t="s">
        <v>234</v>
      </c>
      <c r="G17" s="165" t="s">
        <v>235</v>
      </c>
      <c r="H17" s="168">
        <v>4212.23</v>
      </c>
      <c r="I17" s="65">
        <v>4212.23</v>
      </c>
      <c r="J17" s="65">
        <v>1053.06</v>
      </c>
      <c r="K17" s="165"/>
      <c r="L17" s="65">
        <v>3159.17</v>
      </c>
      <c r="M17" s="165"/>
      <c r="N17" s="65"/>
      <c r="O17" s="65"/>
      <c r="P17" s="165"/>
      <c r="Q17" s="65"/>
      <c r="R17" s="65"/>
      <c r="S17" s="65"/>
      <c r="T17" s="65"/>
      <c r="U17" s="65"/>
      <c r="V17" s="65"/>
      <c r="W17" s="65"/>
    </row>
    <row r="18" ht="20.25" customHeight="true" spans="1:23">
      <c r="A18" s="165" t="str">
        <f t="shared" si="0"/>
        <v>       玉溪市卫生健康委员会</v>
      </c>
      <c r="B18" s="165" t="s">
        <v>229</v>
      </c>
      <c r="C18" s="165" t="s">
        <v>230</v>
      </c>
      <c r="D18" s="165" t="s">
        <v>147</v>
      </c>
      <c r="E18" s="165" t="s">
        <v>236</v>
      </c>
      <c r="F18" s="165" t="s">
        <v>237</v>
      </c>
      <c r="G18" s="165" t="s">
        <v>238</v>
      </c>
      <c r="H18" s="168">
        <v>393613.89</v>
      </c>
      <c r="I18" s="65">
        <v>393613.89</v>
      </c>
      <c r="J18" s="65">
        <v>98403.47</v>
      </c>
      <c r="K18" s="165"/>
      <c r="L18" s="65">
        <v>295210.42</v>
      </c>
      <c r="M18" s="165"/>
      <c r="N18" s="65"/>
      <c r="O18" s="65"/>
      <c r="P18" s="165"/>
      <c r="Q18" s="65"/>
      <c r="R18" s="65"/>
      <c r="S18" s="65"/>
      <c r="T18" s="65"/>
      <c r="U18" s="65"/>
      <c r="V18" s="65"/>
      <c r="W18" s="65"/>
    </row>
    <row r="19" ht="20.25" customHeight="true" spans="1:23">
      <c r="A19" s="165" t="str">
        <f t="shared" si="0"/>
        <v>       玉溪市卫生健康委员会</v>
      </c>
      <c r="B19" s="165" t="s">
        <v>229</v>
      </c>
      <c r="C19" s="165" t="s">
        <v>230</v>
      </c>
      <c r="D19" s="165" t="s">
        <v>147</v>
      </c>
      <c r="E19" s="165" t="s">
        <v>236</v>
      </c>
      <c r="F19" s="165" t="s">
        <v>239</v>
      </c>
      <c r="G19" s="165" t="s">
        <v>240</v>
      </c>
      <c r="H19" s="168">
        <v>165000</v>
      </c>
      <c r="I19" s="65">
        <v>165000</v>
      </c>
      <c r="J19" s="65">
        <v>41250</v>
      </c>
      <c r="K19" s="165"/>
      <c r="L19" s="65">
        <v>123750</v>
      </c>
      <c r="M19" s="165"/>
      <c r="N19" s="65"/>
      <c r="O19" s="65"/>
      <c r="P19" s="165"/>
      <c r="Q19" s="65"/>
      <c r="R19" s="65"/>
      <c r="S19" s="65"/>
      <c r="T19" s="65"/>
      <c r="U19" s="65"/>
      <c r="V19" s="65"/>
      <c r="W19" s="65"/>
    </row>
    <row r="20" ht="20.25" customHeight="true" spans="1:23">
      <c r="A20" s="165" t="str">
        <f t="shared" si="0"/>
        <v>       玉溪市卫生健康委员会</v>
      </c>
      <c r="B20" s="165" t="s">
        <v>229</v>
      </c>
      <c r="C20" s="165" t="s">
        <v>230</v>
      </c>
      <c r="D20" s="165" t="s">
        <v>148</v>
      </c>
      <c r="E20" s="165" t="s">
        <v>241</v>
      </c>
      <c r="F20" s="165" t="s">
        <v>237</v>
      </c>
      <c r="G20" s="165" t="s">
        <v>238</v>
      </c>
      <c r="H20" s="168">
        <v>48188.47</v>
      </c>
      <c r="I20" s="65">
        <v>48188.47</v>
      </c>
      <c r="J20" s="65">
        <v>12047.12</v>
      </c>
      <c r="K20" s="165"/>
      <c r="L20" s="65">
        <v>36141.35</v>
      </c>
      <c r="M20" s="165"/>
      <c r="N20" s="65"/>
      <c r="O20" s="65"/>
      <c r="P20" s="165"/>
      <c r="Q20" s="65"/>
      <c r="R20" s="65"/>
      <c r="S20" s="65"/>
      <c r="T20" s="65"/>
      <c r="U20" s="65"/>
      <c r="V20" s="65"/>
      <c r="W20" s="65"/>
    </row>
    <row r="21" ht="20.25" customHeight="true" spans="1:23">
      <c r="A21" s="165" t="str">
        <f t="shared" si="0"/>
        <v>       玉溪市卫生健康委员会</v>
      </c>
      <c r="B21" s="165" t="s">
        <v>229</v>
      </c>
      <c r="C21" s="165" t="s">
        <v>230</v>
      </c>
      <c r="D21" s="165" t="s">
        <v>149</v>
      </c>
      <c r="E21" s="165" t="s">
        <v>242</v>
      </c>
      <c r="F21" s="165" t="s">
        <v>243</v>
      </c>
      <c r="G21" s="165" t="s">
        <v>244</v>
      </c>
      <c r="H21" s="168">
        <v>399230.8</v>
      </c>
      <c r="I21" s="65">
        <v>399230.8</v>
      </c>
      <c r="J21" s="65">
        <v>99807.7</v>
      </c>
      <c r="K21" s="165"/>
      <c r="L21" s="65">
        <v>299423.1</v>
      </c>
      <c r="M21" s="165"/>
      <c r="N21" s="65"/>
      <c r="O21" s="65"/>
      <c r="P21" s="165"/>
      <c r="Q21" s="65"/>
      <c r="R21" s="65"/>
      <c r="S21" s="65"/>
      <c r="T21" s="65"/>
      <c r="U21" s="65"/>
      <c r="V21" s="65"/>
      <c r="W21" s="65"/>
    </row>
    <row r="22" ht="20.25" customHeight="true" spans="1:23">
      <c r="A22" s="165" t="str">
        <f t="shared" si="0"/>
        <v>       玉溪市卫生健康委员会</v>
      </c>
      <c r="B22" s="165" t="s">
        <v>229</v>
      </c>
      <c r="C22" s="165" t="s">
        <v>230</v>
      </c>
      <c r="D22" s="165" t="s">
        <v>150</v>
      </c>
      <c r="E22" s="165" t="s">
        <v>245</v>
      </c>
      <c r="F22" s="165" t="s">
        <v>234</v>
      </c>
      <c r="G22" s="165" t="s">
        <v>235</v>
      </c>
      <c r="H22" s="168">
        <v>53127.97</v>
      </c>
      <c r="I22" s="65">
        <v>53127.97</v>
      </c>
      <c r="J22" s="65">
        <v>36759.99</v>
      </c>
      <c r="K22" s="165"/>
      <c r="L22" s="65">
        <v>16367.98</v>
      </c>
      <c r="M22" s="165"/>
      <c r="N22" s="65"/>
      <c r="O22" s="65"/>
      <c r="P22" s="165"/>
      <c r="Q22" s="65"/>
      <c r="R22" s="65"/>
      <c r="S22" s="65"/>
      <c r="T22" s="65"/>
      <c r="U22" s="65"/>
      <c r="V22" s="65"/>
      <c r="W22" s="65"/>
    </row>
    <row r="23" ht="20.25" customHeight="true" spans="1:23">
      <c r="A23" s="165" t="str">
        <f t="shared" si="0"/>
        <v>       玉溪市卫生健康委员会</v>
      </c>
      <c r="B23" s="165" t="s">
        <v>246</v>
      </c>
      <c r="C23" s="165" t="s">
        <v>247</v>
      </c>
      <c r="D23" s="165" t="s">
        <v>160</v>
      </c>
      <c r="E23" s="165" t="s">
        <v>247</v>
      </c>
      <c r="F23" s="165" t="s">
        <v>248</v>
      </c>
      <c r="G23" s="165" t="s">
        <v>247</v>
      </c>
      <c r="H23" s="168">
        <v>760512</v>
      </c>
      <c r="I23" s="65">
        <v>760512</v>
      </c>
      <c r="J23" s="65">
        <v>190128</v>
      </c>
      <c r="K23" s="165"/>
      <c r="L23" s="65">
        <v>570384</v>
      </c>
      <c r="M23" s="165"/>
      <c r="N23" s="65"/>
      <c r="O23" s="65"/>
      <c r="P23" s="165"/>
      <c r="Q23" s="65"/>
      <c r="R23" s="65"/>
      <c r="S23" s="65"/>
      <c r="T23" s="65"/>
      <c r="U23" s="65"/>
      <c r="V23" s="65"/>
      <c r="W23" s="65"/>
    </row>
    <row r="24" ht="20.25" customHeight="true" spans="1:23">
      <c r="A24" s="165" t="str">
        <f t="shared" si="0"/>
        <v>       玉溪市卫生健康委员会</v>
      </c>
      <c r="B24" s="165" t="s">
        <v>249</v>
      </c>
      <c r="C24" s="165" t="s">
        <v>250</v>
      </c>
      <c r="D24" s="165" t="s">
        <v>113</v>
      </c>
      <c r="E24" s="165" t="s">
        <v>251</v>
      </c>
      <c r="F24" s="165" t="s">
        <v>252</v>
      </c>
      <c r="G24" s="165" t="s">
        <v>253</v>
      </c>
      <c r="H24" s="168">
        <v>434052</v>
      </c>
      <c r="I24" s="65">
        <v>434052</v>
      </c>
      <c r="J24" s="65">
        <v>434052</v>
      </c>
      <c r="K24" s="165"/>
      <c r="L24" s="65"/>
      <c r="M24" s="165"/>
      <c r="N24" s="65"/>
      <c r="O24" s="65"/>
      <c r="P24" s="165"/>
      <c r="Q24" s="65"/>
      <c r="R24" s="65"/>
      <c r="S24" s="65"/>
      <c r="T24" s="65"/>
      <c r="U24" s="65"/>
      <c r="V24" s="65"/>
      <c r="W24" s="65"/>
    </row>
    <row r="25" ht="20.25" customHeight="true" spans="1:23">
      <c r="A25" s="165" t="str">
        <f t="shared" si="0"/>
        <v>       玉溪市卫生健康委员会</v>
      </c>
      <c r="B25" s="165" t="s">
        <v>249</v>
      </c>
      <c r="C25" s="165" t="s">
        <v>250</v>
      </c>
      <c r="D25" s="165" t="s">
        <v>113</v>
      </c>
      <c r="E25" s="165" t="s">
        <v>251</v>
      </c>
      <c r="F25" s="165" t="s">
        <v>254</v>
      </c>
      <c r="G25" s="165" t="s">
        <v>255</v>
      </c>
      <c r="H25" s="168">
        <v>1634400</v>
      </c>
      <c r="I25" s="65">
        <v>1634400</v>
      </c>
      <c r="J25" s="65">
        <v>1634400</v>
      </c>
      <c r="K25" s="165"/>
      <c r="L25" s="65"/>
      <c r="M25" s="165"/>
      <c r="N25" s="65"/>
      <c r="O25" s="65"/>
      <c r="P25" s="165"/>
      <c r="Q25" s="65"/>
      <c r="R25" s="65"/>
      <c r="S25" s="65"/>
      <c r="T25" s="65"/>
      <c r="U25" s="65"/>
      <c r="V25" s="65"/>
      <c r="W25" s="65"/>
    </row>
    <row r="26" ht="20.25" customHeight="true" spans="1:23">
      <c r="A26" s="165" t="str">
        <f t="shared" si="0"/>
        <v>       玉溪市卫生健康委员会</v>
      </c>
      <c r="B26" s="165" t="s">
        <v>256</v>
      </c>
      <c r="C26" s="165" t="s">
        <v>257</v>
      </c>
      <c r="D26" s="165" t="s">
        <v>123</v>
      </c>
      <c r="E26" s="165" t="s">
        <v>218</v>
      </c>
      <c r="F26" s="165" t="s">
        <v>258</v>
      </c>
      <c r="G26" s="165" t="s">
        <v>259</v>
      </c>
      <c r="H26" s="168">
        <v>1183044</v>
      </c>
      <c r="I26" s="65">
        <v>1183044</v>
      </c>
      <c r="J26" s="65">
        <v>347508</v>
      </c>
      <c r="K26" s="165"/>
      <c r="L26" s="65">
        <v>835536</v>
      </c>
      <c r="M26" s="165"/>
      <c r="N26" s="65"/>
      <c r="O26" s="65"/>
      <c r="P26" s="165"/>
      <c r="Q26" s="65"/>
      <c r="R26" s="65"/>
      <c r="S26" s="65"/>
      <c r="T26" s="65"/>
      <c r="U26" s="65"/>
      <c r="V26" s="65"/>
      <c r="W26" s="65"/>
    </row>
    <row r="27" ht="20.25" customHeight="true" spans="1:23">
      <c r="A27" s="165" t="str">
        <f t="shared" si="0"/>
        <v>       玉溪市卫生健康委员会</v>
      </c>
      <c r="B27" s="165" t="s">
        <v>260</v>
      </c>
      <c r="C27" s="165" t="s">
        <v>261</v>
      </c>
      <c r="D27" s="165" t="s">
        <v>123</v>
      </c>
      <c r="E27" s="165" t="s">
        <v>218</v>
      </c>
      <c r="F27" s="165" t="s">
        <v>262</v>
      </c>
      <c r="G27" s="165" t="s">
        <v>263</v>
      </c>
      <c r="H27" s="168">
        <v>13100</v>
      </c>
      <c r="I27" s="65">
        <v>13100</v>
      </c>
      <c r="J27" s="65"/>
      <c r="K27" s="165"/>
      <c r="L27" s="65">
        <v>13100</v>
      </c>
      <c r="M27" s="165"/>
      <c r="N27" s="65"/>
      <c r="O27" s="65"/>
      <c r="P27" s="165"/>
      <c r="Q27" s="65"/>
      <c r="R27" s="65"/>
      <c r="S27" s="65"/>
      <c r="T27" s="65"/>
      <c r="U27" s="65"/>
      <c r="V27" s="65"/>
      <c r="W27" s="65"/>
    </row>
    <row r="28" ht="20.25" customHeight="true" spans="1:23">
      <c r="A28" s="165" t="str">
        <f t="shared" si="0"/>
        <v>       玉溪市卫生健康委员会</v>
      </c>
      <c r="B28" s="165" t="s">
        <v>264</v>
      </c>
      <c r="C28" s="165" t="s">
        <v>265</v>
      </c>
      <c r="D28" s="165" t="s">
        <v>123</v>
      </c>
      <c r="E28" s="165" t="s">
        <v>218</v>
      </c>
      <c r="F28" s="165" t="s">
        <v>266</v>
      </c>
      <c r="G28" s="165" t="s">
        <v>267</v>
      </c>
      <c r="H28" s="168">
        <v>356400</v>
      </c>
      <c r="I28" s="65">
        <v>356400</v>
      </c>
      <c r="J28" s="65">
        <v>155925</v>
      </c>
      <c r="K28" s="165"/>
      <c r="L28" s="65">
        <v>200475</v>
      </c>
      <c r="M28" s="165"/>
      <c r="N28" s="65"/>
      <c r="O28" s="65"/>
      <c r="P28" s="165"/>
      <c r="Q28" s="65"/>
      <c r="R28" s="65"/>
      <c r="S28" s="65"/>
      <c r="T28" s="65"/>
      <c r="U28" s="65"/>
      <c r="V28" s="65"/>
      <c r="W28" s="65"/>
    </row>
    <row r="29" ht="20.25" customHeight="true" spans="1:23">
      <c r="A29" s="165" t="str">
        <f t="shared" si="0"/>
        <v>       玉溪市卫生健康委员会</v>
      </c>
      <c r="B29" s="165" t="s">
        <v>268</v>
      </c>
      <c r="C29" s="165" t="s">
        <v>269</v>
      </c>
      <c r="D29" s="165" t="s">
        <v>123</v>
      </c>
      <c r="E29" s="165" t="s">
        <v>218</v>
      </c>
      <c r="F29" s="165" t="s">
        <v>270</v>
      </c>
      <c r="G29" s="165" t="s">
        <v>269</v>
      </c>
      <c r="H29" s="168">
        <v>76834.8</v>
      </c>
      <c r="I29" s="65">
        <v>76834.8</v>
      </c>
      <c r="J29" s="65"/>
      <c r="K29" s="165"/>
      <c r="L29" s="65">
        <v>76834.8</v>
      </c>
      <c r="M29" s="165"/>
      <c r="N29" s="65"/>
      <c r="O29" s="65"/>
      <c r="P29" s="165"/>
      <c r="Q29" s="65"/>
      <c r="R29" s="65"/>
      <c r="S29" s="65"/>
      <c r="T29" s="65"/>
      <c r="U29" s="65"/>
      <c r="V29" s="65"/>
      <c r="W29" s="65"/>
    </row>
    <row r="30" ht="20.25" customHeight="true" spans="1:23">
      <c r="A30" s="165" t="str">
        <f t="shared" si="0"/>
        <v>       玉溪市卫生健康委员会</v>
      </c>
      <c r="B30" s="165" t="s">
        <v>268</v>
      </c>
      <c r="C30" s="165" t="s">
        <v>269</v>
      </c>
      <c r="D30" s="165" t="s">
        <v>125</v>
      </c>
      <c r="E30" s="165" t="s">
        <v>226</v>
      </c>
      <c r="F30" s="165" t="s">
        <v>270</v>
      </c>
      <c r="G30" s="165" t="s">
        <v>269</v>
      </c>
      <c r="H30" s="168">
        <v>22300.8</v>
      </c>
      <c r="I30" s="65">
        <v>22300.8</v>
      </c>
      <c r="J30" s="65"/>
      <c r="K30" s="165"/>
      <c r="L30" s="65">
        <v>22300.8</v>
      </c>
      <c r="M30" s="165"/>
      <c r="N30" s="65"/>
      <c r="O30" s="65"/>
      <c r="P30" s="165"/>
      <c r="Q30" s="65"/>
      <c r="R30" s="65"/>
      <c r="S30" s="65"/>
      <c r="T30" s="65"/>
      <c r="U30" s="65"/>
      <c r="V30" s="65"/>
      <c r="W30" s="65"/>
    </row>
    <row r="31" ht="20.25" customHeight="true" spans="1:23">
      <c r="A31" s="165" t="str">
        <f t="shared" si="0"/>
        <v>       玉溪市卫生健康委员会</v>
      </c>
      <c r="B31" s="165" t="s">
        <v>271</v>
      </c>
      <c r="C31" s="165" t="s">
        <v>272</v>
      </c>
      <c r="D31" s="165" t="s">
        <v>113</v>
      </c>
      <c r="E31" s="165" t="s">
        <v>251</v>
      </c>
      <c r="F31" s="165" t="s">
        <v>273</v>
      </c>
      <c r="G31" s="165" t="s">
        <v>274</v>
      </c>
      <c r="H31" s="168">
        <v>37100</v>
      </c>
      <c r="I31" s="65">
        <v>37100</v>
      </c>
      <c r="J31" s="65">
        <v>37100</v>
      </c>
      <c r="K31" s="165"/>
      <c r="L31" s="65"/>
      <c r="M31" s="165"/>
      <c r="N31" s="65"/>
      <c r="O31" s="65"/>
      <c r="P31" s="165"/>
      <c r="Q31" s="65"/>
      <c r="R31" s="65"/>
      <c r="S31" s="65"/>
      <c r="T31" s="65"/>
      <c r="U31" s="65"/>
      <c r="V31" s="65"/>
      <c r="W31" s="65"/>
    </row>
    <row r="32" ht="20.25" customHeight="true" spans="1:23">
      <c r="A32" s="165" t="str">
        <f t="shared" si="0"/>
        <v>       玉溪市卫生健康委员会</v>
      </c>
      <c r="B32" s="165" t="s">
        <v>271</v>
      </c>
      <c r="C32" s="165" t="s">
        <v>272</v>
      </c>
      <c r="D32" s="165" t="s">
        <v>123</v>
      </c>
      <c r="E32" s="165" t="s">
        <v>218</v>
      </c>
      <c r="F32" s="165" t="s">
        <v>275</v>
      </c>
      <c r="G32" s="165" t="s">
        <v>276</v>
      </c>
      <c r="H32" s="168">
        <v>48393</v>
      </c>
      <c r="I32" s="65">
        <v>48393</v>
      </c>
      <c r="J32" s="65"/>
      <c r="K32" s="165"/>
      <c r="L32" s="65">
        <v>48393</v>
      </c>
      <c r="M32" s="165"/>
      <c r="N32" s="65"/>
      <c r="O32" s="65"/>
      <c r="P32" s="165"/>
      <c r="Q32" s="65"/>
      <c r="R32" s="65"/>
      <c r="S32" s="65"/>
      <c r="T32" s="65"/>
      <c r="U32" s="65"/>
      <c r="V32" s="65"/>
      <c r="W32" s="65"/>
    </row>
    <row r="33" ht="20.25" customHeight="true" spans="1:23">
      <c r="A33" s="165" t="str">
        <f t="shared" si="0"/>
        <v>       玉溪市卫生健康委员会</v>
      </c>
      <c r="B33" s="165" t="s">
        <v>271</v>
      </c>
      <c r="C33" s="165" t="s">
        <v>272</v>
      </c>
      <c r="D33" s="165" t="s">
        <v>123</v>
      </c>
      <c r="E33" s="165" t="s">
        <v>218</v>
      </c>
      <c r="F33" s="165" t="s">
        <v>277</v>
      </c>
      <c r="G33" s="165" t="s">
        <v>278</v>
      </c>
      <c r="H33" s="168">
        <v>113807</v>
      </c>
      <c r="I33" s="65">
        <v>113807</v>
      </c>
      <c r="J33" s="65">
        <v>28451.75</v>
      </c>
      <c r="K33" s="165"/>
      <c r="L33" s="65">
        <v>85355.25</v>
      </c>
      <c r="M33" s="165"/>
      <c r="N33" s="65"/>
      <c r="O33" s="65"/>
      <c r="P33" s="165"/>
      <c r="Q33" s="65"/>
      <c r="R33" s="65"/>
      <c r="S33" s="65"/>
      <c r="T33" s="65"/>
      <c r="U33" s="65"/>
      <c r="V33" s="65"/>
      <c r="W33" s="65"/>
    </row>
    <row r="34" ht="20.25" customHeight="true" spans="1:23">
      <c r="A34" s="165" t="str">
        <f t="shared" si="0"/>
        <v>       玉溪市卫生健康委员会</v>
      </c>
      <c r="B34" s="165" t="s">
        <v>271</v>
      </c>
      <c r="C34" s="165" t="s">
        <v>272</v>
      </c>
      <c r="D34" s="165" t="s">
        <v>123</v>
      </c>
      <c r="E34" s="165" t="s">
        <v>218</v>
      </c>
      <c r="F34" s="165" t="s">
        <v>279</v>
      </c>
      <c r="G34" s="165" t="s">
        <v>280</v>
      </c>
      <c r="H34" s="168">
        <v>20000</v>
      </c>
      <c r="I34" s="65">
        <v>20000</v>
      </c>
      <c r="J34" s="65">
        <v>5000</v>
      </c>
      <c r="K34" s="165"/>
      <c r="L34" s="65">
        <v>15000</v>
      </c>
      <c r="M34" s="165"/>
      <c r="N34" s="65"/>
      <c r="O34" s="65"/>
      <c r="P34" s="165"/>
      <c r="Q34" s="65"/>
      <c r="R34" s="65"/>
      <c r="S34" s="65"/>
      <c r="T34" s="65"/>
      <c r="U34" s="65"/>
      <c r="V34" s="65"/>
      <c r="W34" s="65"/>
    </row>
    <row r="35" ht="20.25" customHeight="true" spans="1:23">
      <c r="A35" s="165" t="str">
        <f t="shared" si="0"/>
        <v>       玉溪市卫生健康委员会</v>
      </c>
      <c r="B35" s="165" t="s">
        <v>271</v>
      </c>
      <c r="C35" s="165" t="s">
        <v>272</v>
      </c>
      <c r="D35" s="165" t="s">
        <v>123</v>
      </c>
      <c r="E35" s="165" t="s">
        <v>218</v>
      </c>
      <c r="F35" s="165" t="s">
        <v>281</v>
      </c>
      <c r="G35" s="165" t="s">
        <v>282</v>
      </c>
      <c r="H35" s="168">
        <v>30000</v>
      </c>
      <c r="I35" s="65">
        <v>30000</v>
      </c>
      <c r="J35" s="65">
        <v>7500</v>
      </c>
      <c r="K35" s="165"/>
      <c r="L35" s="65">
        <v>22500</v>
      </c>
      <c r="M35" s="165"/>
      <c r="N35" s="65"/>
      <c r="O35" s="65"/>
      <c r="P35" s="165"/>
      <c r="Q35" s="65"/>
      <c r="R35" s="65"/>
      <c r="S35" s="65"/>
      <c r="T35" s="65"/>
      <c r="U35" s="65"/>
      <c r="V35" s="65"/>
      <c r="W35" s="65"/>
    </row>
    <row r="36" ht="20.25" customHeight="true" spans="1:23">
      <c r="A36" s="165" t="str">
        <f t="shared" si="0"/>
        <v>       玉溪市卫生健康委员会</v>
      </c>
      <c r="B36" s="165" t="s">
        <v>271</v>
      </c>
      <c r="C36" s="165" t="s">
        <v>272</v>
      </c>
      <c r="D36" s="165" t="s">
        <v>123</v>
      </c>
      <c r="E36" s="165" t="s">
        <v>218</v>
      </c>
      <c r="F36" s="165" t="s">
        <v>283</v>
      </c>
      <c r="G36" s="165" t="s">
        <v>284</v>
      </c>
      <c r="H36" s="168">
        <v>20000</v>
      </c>
      <c r="I36" s="65">
        <v>20000</v>
      </c>
      <c r="J36" s="65">
        <v>5000</v>
      </c>
      <c r="K36" s="165"/>
      <c r="L36" s="65">
        <v>15000</v>
      </c>
      <c r="M36" s="165"/>
      <c r="N36" s="65"/>
      <c r="O36" s="65"/>
      <c r="P36" s="165"/>
      <c r="Q36" s="65"/>
      <c r="R36" s="65"/>
      <c r="S36" s="65"/>
      <c r="T36" s="65"/>
      <c r="U36" s="65"/>
      <c r="V36" s="65"/>
      <c r="W36" s="65"/>
    </row>
    <row r="37" ht="20.25" customHeight="true" spans="1:23">
      <c r="A37" s="165" t="str">
        <f t="shared" si="0"/>
        <v>       玉溪市卫生健康委员会</v>
      </c>
      <c r="B37" s="165" t="s">
        <v>271</v>
      </c>
      <c r="C37" s="165" t="s">
        <v>272</v>
      </c>
      <c r="D37" s="165" t="s">
        <v>123</v>
      </c>
      <c r="E37" s="165" t="s">
        <v>218</v>
      </c>
      <c r="F37" s="165" t="s">
        <v>285</v>
      </c>
      <c r="G37" s="165" t="s">
        <v>286</v>
      </c>
      <c r="H37" s="168">
        <v>33000</v>
      </c>
      <c r="I37" s="65">
        <v>33000</v>
      </c>
      <c r="J37" s="65">
        <v>8250</v>
      </c>
      <c r="K37" s="165"/>
      <c r="L37" s="65">
        <v>24750</v>
      </c>
      <c r="M37" s="165"/>
      <c r="N37" s="65"/>
      <c r="O37" s="65"/>
      <c r="P37" s="165"/>
      <c r="Q37" s="65"/>
      <c r="R37" s="65"/>
      <c r="S37" s="65"/>
      <c r="T37" s="65"/>
      <c r="U37" s="65"/>
      <c r="V37" s="65"/>
      <c r="W37" s="65"/>
    </row>
    <row r="38" ht="20.25" customHeight="true" spans="1:23">
      <c r="A38" s="165" t="str">
        <f t="shared" si="0"/>
        <v>       玉溪市卫生健康委员会</v>
      </c>
      <c r="B38" s="165" t="s">
        <v>271</v>
      </c>
      <c r="C38" s="165" t="s">
        <v>272</v>
      </c>
      <c r="D38" s="165" t="s">
        <v>123</v>
      </c>
      <c r="E38" s="165" t="s">
        <v>218</v>
      </c>
      <c r="F38" s="165" t="s">
        <v>266</v>
      </c>
      <c r="G38" s="165" t="s">
        <v>267</v>
      </c>
      <c r="H38" s="168">
        <v>35640</v>
      </c>
      <c r="I38" s="65">
        <v>35640</v>
      </c>
      <c r="J38" s="65">
        <v>8910</v>
      </c>
      <c r="K38" s="165"/>
      <c r="L38" s="65">
        <v>26730</v>
      </c>
      <c r="M38" s="165"/>
      <c r="N38" s="65"/>
      <c r="O38" s="65"/>
      <c r="P38" s="165"/>
      <c r="Q38" s="65"/>
      <c r="R38" s="65"/>
      <c r="S38" s="65"/>
      <c r="T38" s="65"/>
      <c r="U38" s="65"/>
      <c r="V38" s="65"/>
      <c r="W38" s="65"/>
    </row>
    <row r="39" ht="20.25" customHeight="true" spans="1:23">
      <c r="A39" s="165" t="str">
        <f t="shared" si="0"/>
        <v>       玉溪市卫生健康委员会</v>
      </c>
      <c r="B39" s="165" t="s">
        <v>271</v>
      </c>
      <c r="C39" s="165" t="s">
        <v>272</v>
      </c>
      <c r="D39" s="165" t="s">
        <v>123</v>
      </c>
      <c r="E39" s="165" t="s">
        <v>218</v>
      </c>
      <c r="F39" s="165" t="s">
        <v>273</v>
      </c>
      <c r="G39" s="165" t="s">
        <v>274</v>
      </c>
      <c r="H39" s="168">
        <v>110000</v>
      </c>
      <c r="I39" s="65">
        <v>110000</v>
      </c>
      <c r="J39" s="65">
        <v>27500</v>
      </c>
      <c r="K39" s="165"/>
      <c r="L39" s="65">
        <v>82500</v>
      </c>
      <c r="M39" s="165"/>
      <c r="N39" s="65"/>
      <c r="O39" s="65"/>
      <c r="P39" s="165"/>
      <c r="Q39" s="65"/>
      <c r="R39" s="65"/>
      <c r="S39" s="65"/>
      <c r="T39" s="65"/>
      <c r="U39" s="65"/>
      <c r="V39" s="65"/>
      <c r="W39" s="65"/>
    </row>
    <row r="40" ht="20.25" customHeight="true" spans="1:23">
      <c r="A40" s="165" t="str">
        <f t="shared" si="0"/>
        <v>       玉溪市卫生健康委员会</v>
      </c>
      <c r="B40" s="165" t="s">
        <v>271</v>
      </c>
      <c r="C40" s="165" t="s">
        <v>272</v>
      </c>
      <c r="D40" s="165" t="s">
        <v>123</v>
      </c>
      <c r="E40" s="165" t="s">
        <v>218</v>
      </c>
      <c r="F40" s="165" t="s">
        <v>287</v>
      </c>
      <c r="G40" s="165" t="s">
        <v>288</v>
      </c>
      <c r="H40" s="168">
        <v>70000</v>
      </c>
      <c r="I40" s="65">
        <v>70000</v>
      </c>
      <c r="J40" s="65">
        <v>150</v>
      </c>
      <c r="K40" s="165"/>
      <c r="L40" s="65">
        <v>69850</v>
      </c>
      <c r="M40" s="165"/>
      <c r="N40" s="65"/>
      <c r="O40" s="65"/>
      <c r="P40" s="165"/>
      <c r="Q40" s="65"/>
      <c r="R40" s="65"/>
      <c r="S40" s="65"/>
      <c r="T40" s="65"/>
      <c r="U40" s="65"/>
      <c r="V40" s="65"/>
      <c r="W40" s="65"/>
    </row>
    <row r="41" ht="20.25" customHeight="true" spans="1:23">
      <c r="A41" s="165" t="str">
        <f t="shared" si="0"/>
        <v>       玉溪市卫生健康委员会</v>
      </c>
      <c r="B41" s="165" t="s">
        <v>271</v>
      </c>
      <c r="C41" s="165" t="s">
        <v>272</v>
      </c>
      <c r="D41" s="165" t="s">
        <v>125</v>
      </c>
      <c r="E41" s="165" t="s">
        <v>226</v>
      </c>
      <c r="F41" s="165" t="s">
        <v>275</v>
      </c>
      <c r="G41" s="165" t="s">
        <v>276</v>
      </c>
      <c r="H41" s="168">
        <v>73500</v>
      </c>
      <c r="I41" s="65">
        <v>73500</v>
      </c>
      <c r="J41" s="65"/>
      <c r="K41" s="165"/>
      <c r="L41" s="65">
        <v>73500</v>
      </c>
      <c r="M41" s="165"/>
      <c r="N41" s="65"/>
      <c r="O41" s="65"/>
      <c r="P41" s="165"/>
      <c r="Q41" s="65"/>
      <c r="R41" s="65"/>
      <c r="S41" s="65"/>
      <c r="T41" s="65"/>
      <c r="U41" s="65"/>
      <c r="V41" s="65"/>
      <c r="W41" s="65"/>
    </row>
    <row r="42" ht="20.25" customHeight="true" spans="1:23">
      <c r="A42" s="165" t="str">
        <f t="shared" si="0"/>
        <v>       玉溪市卫生健康委员会</v>
      </c>
      <c r="B42" s="165" t="s">
        <v>271</v>
      </c>
      <c r="C42" s="165" t="s">
        <v>272</v>
      </c>
      <c r="D42" s="165" t="s">
        <v>125</v>
      </c>
      <c r="E42" s="165" t="s">
        <v>226</v>
      </c>
      <c r="F42" s="165" t="s">
        <v>285</v>
      </c>
      <c r="G42" s="165" t="s">
        <v>286</v>
      </c>
      <c r="H42" s="168">
        <v>7000</v>
      </c>
      <c r="I42" s="65">
        <v>7000</v>
      </c>
      <c r="J42" s="65">
        <v>1750</v>
      </c>
      <c r="K42" s="165"/>
      <c r="L42" s="65">
        <v>5250</v>
      </c>
      <c r="M42" s="165"/>
      <c r="N42" s="65"/>
      <c r="O42" s="65"/>
      <c r="P42" s="165"/>
      <c r="Q42" s="65"/>
      <c r="R42" s="65"/>
      <c r="S42" s="65"/>
      <c r="T42" s="65"/>
      <c r="U42" s="65"/>
      <c r="V42" s="65"/>
      <c r="W42" s="65"/>
    </row>
    <row r="43" ht="20.25" customHeight="true" spans="1:23">
      <c r="A43" s="165" t="str">
        <f t="shared" si="0"/>
        <v>       玉溪市卫生健康委员会</v>
      </c>
      <c r="B43" s="165" t="s">
        <v>289</v>
      </c>
      <c r="C43" s="165" t="s">
        <v>193</v>
      </c>
      <c r="D43" s="165" t="s">
        <v>123</v>
      </c>
      <c r="E43" s="165" t="s">
        <v>218</v>
      </c>
      <c r="F43" s="165" t="s">
        <v>290</v>
      </c>
      <c r="G43" s="165" t="s">
        <v>193</v>
      </c>
      <c r="H43" s="168">
        <v>30000</v>
      </c>
      <c r="I43" s="65">
        <v>30000</v>
      </c>
      <c r="J43" s="65"/>
      <c r="K43" s="165"/>
      <c r="L43" s="65">
        <v>30000</v>
      </c>
      <c r="M43" s="165"/>
      <c r="N43" s="65"/>
      <c r="O43" s="65"/>
      <c r="P43" s="165"/>
      <c r="Q43" s="65"/>
      <c r="R43" s="65"/>
      <c r="S43" s="65"/>
      <c r="T43" s="65"/>
      <c r="U43" s="65"/>
      <c r="V43" s="65"/>
      <c r="W43" s="65"/>
    </row>
    <row r="44" ht="26" customHeight="true" spans="1:23">
      <c r="A44" s="165" t="str">
        <f t="shared" si="0"/>
        <v>       玉溪市卫生健康委员会</v>
      </c>
      <c r="B44" s="165" t="s">
        <v>291</v>
      </c>
      <c r="C44" s="165" t="s">
        <v>292</v>
      </c>
      <c r="D44" s="165" t="s">
        <v>125</v>
      </c>
      <c r="E44" s="165" t="s">
        <v>226</v>
      </c>
      <c r="F44" s="165" t="s">
        <v>227</v>
      </c>
      <c r="G44" s="165" t="s">
        <v>228</v>
      </c>
      <c r="H44" s="168">
        <v>345800</v>
      </c>
      <c r="I44" s="65">
        <v>345800</v>
      </c>
      <c r="J44" s="65">
        <v>345800</v>
      </c>
      <c r="K44" s="165"/>
      <c r="L44" s="65"/>
      <c r="M44" s="165"/>
      <c r="N44" s="65"/>
      <c r="O44" s="65"/>
      <c r="P44" s="165"/>
      <c r="Q44" s="65"/>
      <c r="R44" s="65"/>
      <c r="S44" s="65"/>
      <c r="T44" s="65"/>
      <c r="U44" s="65"/>
      <c r="V44" s="65"/>
      <c r="W44" s="65"/>
    </row>
    <row r="45" ht="20.25" customHeight="true" spans="1:23">
      <c r="A45" s="165" t="str">
        <f t="shared" si="0"/>
        <v>       玉溪市卫生健康委员会</v>
      </c>
      <c r="B45" s="165" t="s">
        <v>293</v>
      </c>
      <c r="C45" s="165" t="s">
        <v>294</v>
      </c>
      <c r="D45" s="165" t="s">
        <v>123</v>
      </c>
      <c r="E45" s="165" t="s">
        <v>218</v>
      </c>
      <c r="F45" s="165" t="s">
        <v>295</v>
      </c>
      <c r="G45" s="165" t="s">
        <v>257</v>
      </c>
      <c r="H45" s="168">
        <v>480000</v>
      </c>
      <c r="I45" s="65">
        <v>480000</v>
      </c>
      <c r="J45" s="65">
        <v>120000</v>
      </c>
      <c r="K45" s="165"/>
      <c r="L45" s="65">
        <v>360000</v>
      </c>
      <c r="M45" s="165"/>
      <c r="N45" s="65"/>
      <c r="O45" s="65"/>
      <c r="P45" s="165"/>
      <c r="Q45" s="65"/>
      <c r="R45" s="65"/>
      <c r="S45" s="65"/>
      <c r="T45" s="65"/>
      <c r="U45" s="65"/>
      <c r="V45" s="65"/>
      <c r="W45" s="65"/>
    </row>
    <row r="46" ht="20.25" customHeight="true" spans="1:23">
      <c r="A46" s="165" t="str">
        <f t="shared" si="0"/>
        <v>       玉溪市卫生健康委员会</v>
      </c>
      <c r="B46" s="165" t="s">
        <v>296</v>
      </c>
      <c r="C46" s="165" t="s">
        <v>297</v>
      </c>
      <c r="D46" s="165" t="s">
        <v>116</v>
      </c>
      <c r="E46" s="165" t="s">
        <v>298</v>
      </c>
      <c r="F46" s="165" t="s">
        <v>299</v>
      </c>
      <c r="G46" s="165" t="s">
        <v>300</v>
      </c>
      <c r="H46" s="168">
        <v>110000</v>
      </c>
      <c r="I46" s="65">
        <v>110000</v>
      </c>
      <c r="J46" s="65"/>
      <c r="K46" s="165"/>
      <c r="L46" s="65">
        <v>110000</v>
      </c>
      <c r="M46" s="165"/>
      <c r="N46" s="65"/>
      <c r="O46" s="65"/>
      <c r="P46" s="165"/>
      <c r="Q46" s="65"/>
      <c r="R46" s="65"/>
      <c r="S46" s="65"/>
      <c r="T46" s="65"/>
      <c r="U46" s="65"/>
      <c r="V46" s="65"/>
      <c r="W46" s="65"/>
    </row>
    <row r="47" ht="20.25" customHeight="true" spans="1:23">
      <c r="A47" s="165" t="str">
        <f t="shared" si="0"/>
        <v>       玉溪市卫生健康委员会</v>
      </c>
      <c r="B47" s="165" t="s">
        <v>301</v>
      </c>
      <c r="C47" s="165" t="s">
        <v>302</v>
      </c>
      <c r="D47" s="165" t="s">
        <v>123</v>
      </c>
      <c r="E47" s="165" t="s">
        <v>218</v>
      </c>
      <c r="F47" s="165" t="s">
        <v>283</v>
      </c>
      <c r="G47" s="165" t="s">
        <v>284</v>
      </c>
      <c r="H47" s="168">
        <v>258000</v>
      </c>
      <c r="I47" s="65">
        <v>258000</v>
      </c>
      <c r="J47" s="65"/>
      <c r="K47" s="165"/>
      <c r="L47" s="65">
        <v>258000</v>
      </c>
      <c r="M47" s="165"/>
      <c r="N47" s="65"/>
      <c r="O47" s="65"/>
      <c r="P47" s="165"/>
      <c r="Q47" s="65"/>
      <c r="R47" s="65"/>
      <c r="S47" s="65"/>
      <c r="T47" s="65"/>
      <c r="U47" s="65"/>
      <c r="V47" s="65"/>
      <c r="W47" s="65"/>
    </row>
    <row r="48" ht="20.25" customHeight="true" spans="1:23">
      <c r="A48" s="165" t="str">
        <f t="shared" si="0"/>
        <v>       玉溪市卫生健康委员会</v>
      </c>
      <c r="B48" s="165" t="s">
        <v>303</v>
      </c>
      <c r="C48" s="165" t="s">
        <v>304</v>
      </c>
      <c r="D48" s="165" t="s">
        <v>123</v>
      </c>
      <c r="E48" s="165" t="s">
        <v>218</v>
      </c>
      <c r="F48" s="165" t="s">
        <v>258</v>
      </c>
      <c r="G48" s="165" t="s">
        <v>259</v>
      </c>
      <c r="H48" s="168">
        <v>141932</v>
      </c>
      <c r="I48" s="65">
        <v>141932</v>
      </c>
      <c r="J48" s="65"/>
      <c r="K48" s="165"/>
      <c r="L48" s="65">
        <v>141932</v>
      </c>
      <c r="M48" s="165"/>
      <c r="N48" s="65"/>
      <c r="O48" s="65"/>
      <c r="P48" s="165"/>
      <c r="Q48" s="65"/>
      <c r="R48" s="65"/>
      <c r="S48" s="65"/>
      <c r="T48" s="65"/>
      <c r="U48" s="65"/>
      <c r="V48" s="65"/>
      <c r="W48" s="65"/>
    </row>
    <row r="49" ht="20.25" customHeight="true" spans="1:23">
      <c r="A49" s="165" t="str">
        <f t="shared" si="0"/>
        <v>       玉溪市卫生健康委员会</v>
      </c>
      <c r="B49" s="165" t="s">
        <v>305</v>
      </c>
      <c r="C49" s="165" t="s">
        <v>306</v>
      </c>
      <c r="D49" s="165" t="s">
        <v>124</v>
      </c>
      <c r="E49" s="165" t="s">
        <v>307</v>
      </c>
      <c r="F49" s="165" t="s">
        <v>275</v>
      </c>
      <c r="G49" s="165" t="s">
        <v>276</v>
      </c>
      <c r="H49" s="168">
        <v>90000</v>
      </c>
      <c r="I49" s="65">
        <v>90000</v>
      </c>
      <c r="J49" s="65"/>
      <c r="K49" s="165"/>
      <c r="L49" s="65">
        <v>90000</v>
      </c>
      <c r="M49" s="165"/>
      <c r="N49" s="65"/>
      <c r="O49" s="65"/>
      <c r="P49" s="165"/>
      <c r="Q49" s="65"/>
      <c r="R49" s="65"/>
      <c r="S49" s="65"/>
      <c r="T49" s="65"/>
      <c r="U49" s="65"/>
      <c r="V49" s="65"/>
      <c r="W49" s="65"/>
    </row>
    <row r="50" ht="20.25" customHeight="true" spans="1:23">
      <c r="A50" s="165" t="str">
        <f t="shared" si="0"/>
        <v>       玉溪市卫生健康委员会</v>
      </c>
      <c r="B50" s="165" t="s">
        <v>305</v>
      </c>
      <c r="C50" s="165" t="s">
        <v>306</v>
      </c>
      <c r="D50" s="165" t="s">
        <v>124</v>
      </c>
      <c r="E50" s="165" t="s">
        <v>307</v>
      </c>
      <c r="F50" s="165" t="s">
        <v>308</v>
      </c>
      <c r="G50" s="165" t="s">
        <v>309</v>
      </c>
      <c r="H50" s="168">
        <v>13500</v>
      </c>
      <c r="I50" s="65">
        <v>13500</v>
      </c>
      <c r="J50" s="65"/>
      <c r="K50" s="165"/>
      <c r="L50" s="65">
        <v>13500</v>
      </c>
      <c r="M50" s="165"/>
      <c r="N50" s="65"/>
      <c r="O50" s="65"/>
      <c r="P50" s="165"/>
      <c r="Q50" s="65"/>
      <c r="R50" s="65"/>
      <c r="S50" s="65"/>
      <c r="T50" s="65"/>
      <c r="U50" s="65"/>
      <c r="V50" s="65"/>
      <c r="W50" s="65"/>
    </row>
    <row r="51" ht="20.25" customHeight="true" spans="1:23">
      <c r="A51" s="165" t="str">
        <f t="shared" si="0"/>
        <v>       玉溪市卫生健康委员会</v>
      </c>
      <c r="B51" s="165" t="s">
        <v>305</v>
      </c>
      <c r="C51" s="165" t="s">
        <v>306</v>
      </c>
      <c r="D51" s="165" t="s">
        <v>124</v>
      </c>
      <c r="E51" s="165" t="s">
        <v>307</v>
      </c>
      <c r="F51" s="165" t="s">
        <v>310</v>
      </c>
      <c r="G51" s="165" t="s">
        <v>311</v>
      </c>
      <c r="H51" s="168">
        <v>13500</v>
      </c>
      <c r="I51" s="65">
        <v>13500</v>
      </c>
      <c r="J51" s="65"/>
      <c r="K51" s="165"/>
      <c r="L51" s="65">
        <v>13500</v>
      </c>
      <c r="M51" s="165"/>
      <c r="N51" s="65"/>
      <c r="O51" s="65"/>
      <c r="P51" s="165"/>
      <c r="Q51" s="65"/>
      <c r="R51" s="65"/>
      <c r="S51" s="65"/>
      <c r="T51" s="65"/>
      <c r="U51" s="65"/>
      <c r="V51" s="65"/>
      <c r="W51" s="65"/>
    </row>
    <row r="52" ht="20.25" customHeight="true" spans="1:23">
      <c r="A52" s="165" t="str">
        <f t="shared" si="0"/>
        <v>       玉溪市卫生健康委员会</v>
      </c>
      <c r="B52" s="165" t="s">
        <v>305</v>
      </c>
      <c r="C52" s="165" t="s">
        <v>306</v>
      </c>
      <c r="D52" s="165" t="s">
        <v>124</v>
      </c>
      <c r="E52" s="165" t="s">
        <v>307</v>
      </c>
      <c r="F52" s="165" t="s">
        <v>312</v>
      </c>
      <c r="G52" s="165" t="s">
        <v>313</v>
      </c>
      <c r="H52" s="168">
        <v>9000</v>
      </c>
      <c r="I52" s="65">
        <v>9000</v>
      </c>
      <c r="J52" s="65"/>
      <c r="K52" s="165"/>
      <c r="L52" s="65">
        <v>9000</v>
      </c>
      <c r="M52" s="165"/>
      <c r="N52" s="65"/>
      <c r="O52" s="65"/>
      <c r="P52" s="165"/>
      <c r="Q52" s="65"/>
      <c r="R52" s="65"/>
      <c r="S52" s="65"/>
      <c r="T52" s="65"/>
      <c r="U52" s="65"/>
      <c r="V52" s="65"/>
      <c r="W52" s="65"/>
    </row>
    <row r="53" ht="20.25" customHeight="true" spans="1:23">
      <c r="A53" s="165" t="str">
        <f t="shared" si="0"/>
        <v>       玉溪市卫生健康委员会</v>
      </c>
      <c r="B53" s="165" t="s">
        <v>305</v>
      </c>
      <c r="C53" s="165" t="s">
        <v>306</v>
      </c>
      <c r="D53" s="165" t="s">
        <v>124</v>
      </c>
      <c r="E53" s="165" t="s">
        <v>307</v>
      </c>
      <c r="F53" s="165" t="s">
        <v>277</v>
      </c>
      <c r="G53" s="165" t="s">
        <v>278</v>
      </c>
      <c r="H53" s="168">
        <v>284743.47</v>
      </c>
      <c r="I53" s="65">
        <v>284743.47</v>
      </c>
      <c r="J53" s="65"/>
      <c r="K53" s="165"/>
      <c r="L53" s="65">
        <v>284743.47</v>
      </c>
      <c r="M53" s="165"/>
      <c r="N53" s="65"/>
      <c r="O53" s="65"/>
      <c r="P53" s="165"/>
      <c r="Q53" s="65"/>
      <c r="R53" s="65"/>
      <c r="S53" s="65"/>
      <c r="T53" s="65"/>
      <c r="U53" s="65"/>
      <c r="V53" s="65"/>
      <c r="W53" s="65"/>
    </row>
    <row r="54" ht="20.25" customHeight="true" spans="1:23">
      <c r="A54" s="165" t="str">
        <f t="shared" si="0"/>
        <v>       玉溪市卫生健康委员会</v>
      </c>
      <c r="B54" s="165" t="s">
        <v>305</v>
      </c>
      <c r="C54" s="165" t="s">
        <v>306</v>
      </c>
      <c r="D54" s="165" t="s">
        <v>124</v>
      </c>
      <c r="E54" s="165" t="s">
        <v>307</v>
      </c>
      <c r="F54" s="165" t="s">
        <v>314</v>
      </c>
      <c r="G54" s="165" t="s">
        <v>315</v>
      </c>
      <c r="H54" s="168">
        <v>27000</v>
      </c>
      <c r="I54" s="65">
        <v>27000</v>
      </c>
      <c r="J54" s="65"/>
      <c r="K54" s="165"/>
      <c r="L54" s="65">
        <v>27000</v>
      </c>
      <c r="M54" s="165"/>
      <c r="N54" s="65"/>
      <c r="O54" s="65"/>
      <c r="P54" s="165"/>
      <c r="Q54" s="65"/>
      <c r="R54" s="65"/>
      <c r="S54" s="65"/>
      <c r="T54" s="65"/>
      <c r="U54" s="65"/>
      <c r="V54" s="65"/>
      <c r="W54" s="65"/>
    </row>
    <row r="55" ht="20.25" customHeight="true" spans="1:23">
      <c r="A55" s="165" t="str">
        <f t="shared" si="0"/>
        <v>       玉溪市卫生健康委员会</v>
      </c>
      <c r="B55" s="165" t="s">
        <v>305</v>
      </c>
      <c r="C55" s="165" t="s">
        <v>306</v>
      </c>
      <c r="D55" s="165" t="s">
        <v>124</v>
      </c>
      <c r="E55" s="165" t="s">
        <v>307</v>
      </c>
      <c r="F55" s="165" t="s">
        <v>279</v>
      </c>
      <c r="G55" s="165" t="s">
        <v>280</v>
      </c>
      <c r="H55" s="168">
        <v>40000</v>
      </c>
      <c r="I55" s="65">
        <v>40000</v>
      </c>
      <c r="J55" s="65"/>
      <c r="K55" s="165"/>
      <c r="L55" s="65">
        <v>40000</v>
      </c>
      <c r="M55" s="165"/>
      <c r="N55" s="65"/>
      <c r="O55" s="65"/>
      <c r="P55" s="165"/>
      <c r="Q55" s="65"/>
      <c r="R55" s="65"/>
      <c r="S55" s="65"/>
      <c r="T55" s="65"/>
      <c r="U55" s="65"/>
      <c r="V55" s="65"/>
      <c r="W55" s="65"/>
    </row>
    <row r="56" ht="20.25" customHeight="true" spans="1:23">
      <c r="A56" s="165" t="str">
        <f t="shared" si="0"/>
        <v>       玉溪市卫生健康委员会</v>
      </c>
      <c r="B56" s="165" t="s">
        <v>305</v>
      </c>
      <c r="C56" s="165" t="s">
        <v>306</v>
      </c>
      <c r="D56" s="165" t="s">
        <v>124</v>
      </c>
      <c r="E56" s="165" t="s">
        <v>307</v>
      </c>
      <c r="F56" s="165" t="s">
        <v>281</v>
      </c>
      <c r="G56" s="165" t="s">
        <v>282</v>
      </c>
      <c r="H56" s="168">
        <v>178000</v>
      </c>
      <c r="I56" s="65">
        <v>178000</v>
      </c>
      <c r="J56" s="65"/>
      <c r="K56" s="165"/>
      <c r="L56" s="65">
        <v>178000</v>
      </c>
      <c r="M56" s="165"/>
      <c r="N56" s="65"/>
      <c r="O56" s="65"/>
      <c r="P56" s="165"/>
      <c r="Q56" s="65"/>
      <c r="R56" s="65"/>
      <c r="S56" s="65"/>
      <c r="T56" s="65"/>
      <c r="U56" s="65"/>
      <c r="V56" s="65"/>
      <c r="W56" s="65"/>
    </row>
    <row r="57" ht="20.25" customHeight="true" spans="1:23">
      <c r="A57" s="165" t="str">
        <f t="shared" si="0"/>
        <v>       玉溪市卫生健康委员会</v>
      </c>
      <c r="B57" s="165" t="s">
        <v>305</v>
      </c>
      <c r="C57" s="165" t="s">
        <v>306</v>
      </c>
      <c r="D57" s="165" t="s">
        <v>124</v>
      </c>
      <c r="E57" s="165" t="s">
        <v>307</v>
      </c>
      <c r="F57" s="165" t="s">
        <v>316</v>
      </c>
      <c r="G57" s="165" t="s">
        <v>317</v>
      </c>
      <c r="H57" s="168">
        <v>45000</v>
      </c>
      <c r="I57" s="65">
        <v>45000</v>
      </c>
      <c r="J57" s="65"/>
      <c r="K57" s="165"/>
      <c r="L57" s="65">
        <v>45000</v>
      </c>
      <c r="M57" s="165"/>
      <c r="N57" s="65"/>
      <c r="O57" s="65"/>
      <c r="P57" s="165"/>
      <c r="Q57" s="65"/>
      <c r="R57" s="65"/>
      <c r="S57" s="65"/>
      <c r="T57" s="65"/>
      <c r="U57" s="65"/>
      <c r="V57" s="65"/>
      <c r="W57" s="65"/>
    </row>
    <row r="58" ht="20.25" customHeight="true" spans="1:23">
      <c r="A58" s="165" t="str">
        <f t="shared" si="0"/>
        <v>       玉溪市卫生健康委员会</v>
      </c>
      <c r="B58" s="165" t="s">
        <v>305</v>
      </c>
      <c r="C58" s="165" t="s">
        <v>306</v>
      </c>
      <c r="D58" s="165" t="s">
        <v>124</v>
      </c>
      <c r="E58" s="165" t="s">
        <v>307</v>
      </c>
      <c r="F58" s="165" t="s">
        <v>283</v>
      </c>
      <c r="G58" s="165" t="s">
        <v>284</v>
      </c>
      <c r="H58" s="168">
        <v>81000</v>
      </c>
      <c r="I58" s="65">
        <v>81000</v>
      </c>
      <c r="J58" s="65"/>
      <c r="K58" s="165"/>
      <c r="L58" s="65">
        <v>81000</v>
      </c>
      <c r="M58" s="165"/>
      <c r="N58" s="65"/>
      <c r="O58" s="65"/>
      <c r="P58" s="165"/>
      <c r="Q58" s="65"/>
      <c r="R58" s="65"/>
      <c r="S58" s="65"/>
      <c r="T58" s="65"/>
      <c r="U58" s="65"/>
      <c r="V58" s="65"/>
      <c r="W58" s="65"/>
    </row>
    <row r="59" ht="20.25" customHeight="true" spans="1:23">
      <c r="A59" s="165" t="str">
        <f t="shared" si="0"/>
        <v>       玉溪市卫生健康委员会</v>
      </c>
      <c r="B59" s="165" t="s">
        <v>305</v>
      </c>
      <c r="C59" s="165" t="s">
        <v>306</v>
      </c>
      <c r="D59" s="165" t="s">
        <v>124</v>
      </c>
      <c r="E59" s="165" t="s">
        <v>307</v>
      </c>
      <c r="F59" s="165" t="s">
        <v>266</v>
      </c>
      <c r="G59" s="165" t="s">
        <v>267</v>
      </c>
      <c r="H59" s="168">
        <v>232000</v>
      </c>
      <c r="I59" s="65">
        <v>232000</v>
      </c>
      <c r="J59" s="65"/>
      <c r="K59" s="165"/>
      <c r="L59" s="65">
        <v>232000</v>
      </c>
      <c r="M59" s="165"/>
      <c r="N59" s="65"/>
      <c r="O59" s="65"/>
      <c r="P59" s="165"/>
      <c r="Q59" s="65"/>
      <c r="R59" s="65"/>
      <c r="S59" s="65"/>
      <c r="T59" s="65"/>
      <c r="U59" s="65"/>
      <c r="V59" s="65"/>
      <c r="W59" s="65"/>
    </row>
    <row r="60" ht="20.25" customHeight="true" spans="1:23">
      <c r="A60" s="165" t="str">
        <f t="shared" si="0"/>
        <v>       玉溪市卫生健康委员会</v>
      </c>
      <c r="B60" s="165" t="s">
        <v>305</v>
      </c>
      <c r="C60" s="165" t="s">
        <v>306</v>
      </c>
      <c r="D60" s="165" t="s">
        <v>124</v>
      </c>
      <c r="E60" s="165" t="s">
        <v>307</v>
      </c>
      <c r="F60" s="165" t="s">
        <v>273</v>
      </c>
      <c r="G60" s="165" t="s">
        <v>274</v>
      </c>
      <c r="H60" s="168">
        <v>13000</v>
      </c>
      <c r="I60" s="65">
        <v>13000</v>
      </c>
      <c r="J60" s="65"/>
      <c r="K60" s="165"/>
      <c r="L60" s="65">
        <v>13000</v>
      </c>
      <c r="M60" s="165"/>
      <c r="N60" s="65"/>
      <c r="O60" s="65"/>
      <c r="P60" s="165"/>
      <c r="Q60" s="65"/>
      <c r="R60" s="65"/>
      <c r="S60" s="65"/>
      <c r="T60" s="65"/>
      <c r="U60" s="65"/>
      <c r="V60" s="65"/>
      <c r="W60" s="65"/>
    </row>
    <row r="61" ht="27" customHeight="true" spans="1:23">
      <c r="A61" s="165" t="str">
        <f t="shared" si="0"/>
        <v>       玉溪市卫生健康委员会</v>
      </c>
      <c r="B61" s="165" t="s">
        <v>318</v>
      </c>
      <c r="C61" s="165" t="s">
        <v>319</v>
      </c>
      <c r="D61" s="165" t="s">
        <v>124</v>
      </c>
      <c r="E61" s="165" t="s">
        <v>307</v>
      </c>
      <c r="F61" s="165" t="s">
        <v>262</v>
      </c>
      <c r="G61" s="165" t="s">
        <v>263</v>
      </c>
      <c r="H61" s="168">
        <v>36000</v>
      </c>
      <c r="I61" s="65">
        <v>36000</v>
      </c>
      <c r="J61" s="65"/>
      <c r="K61" s="165"/>
      <c r="L61" s="65">
        <v>36000</v>
      </c>
      <c r="M61" s="165"/>
      <c r="N61" s="65"/>
      <c r="O61" s="65"/>
      <c r="P61" s="165"/>
      <c r="Q61" s="65"/>
      <c r="R61" s="65"/>
      <c r="S61" s="65"/>
      <c r="T61" s="65"/>
      <c r="U61" s="65"/>
      <c r="V61" s="65"/>
      <c r="W61" s="65"/>
    </row>
    <row r="62" ht="20.25" customHeight="true" spans="1:23">
      <c r="A62" s="165" t="str">
        <f t="shared" si="0"/>
        <v>       玉溪市卫生健康委员会</v>
      </c>
      <c r="B62" s="165" t="s">
        <v>320</v>
      </c>
      <c r="C62" s="165" t="s">
        <v>321</v>
      </c>
      <c r="D62" s="165" t="s">
        <v>124</v>
      </c>
      <c r="E62" s="165" t="s">
        <v>307</v>
      </c>
      <c r="F62" s="165" t="s">
        <v>290</v>
      </c>
      <c r="G62" s="165" t="s">
        <v>193</v>
      </c>
      <c r="H62" s="168">
        <v>44000</v>
      </c>
      <c r="I62" s="65">
        <v>44000</v>
      </c>
      <c r="J62" s="65"/>
      <c r="K62" s="165"/>
      <c r="L62" s="65">
        <v>44000</v>
      </c>
      <c r="M62" s="165"/>
      <c r="N62" s="65"/>
      <c r="O62" s="65"/>
      <c r="P62" s="165"/>
      <c r="Q62" s="65"/>
      <c r="R62" s="65"/>
      <c r="S62" s="65"/>
      <c r="T62" s="65"/>
      <c r="U62" s="65"/>
      <c r="V62" s="65"/>
      <c r="W62" s="65"/>
    </row>
    <row r="63" ht="37" customHeight="true" spans="1:23">
      <c r="A63" s="165" t="str">
        <f t="shared" si="0"/>
        <v>       玉溪市卫生健康委员会</v>
      </c>
      <c r="B63" s="165" t="s">
        <v>322</v>
      </c>
      <c r="C63" s="165" t="s">
        <v>323</v>
      </c>
      <c r="D63" s="165" t="s">
        <v>147</v>
      </c>
      <c r="E63" s="165" t="s">
        <v>236</v>
      </c>
      <c r="F63" s="165" t="s">
        <v>239</v>
      </c>
      <c r="G63" s="165" t="s">
        <v>240</v>
      </c>
      <c r="H63" s="168">
        <v>8000</v>
      </c>
      <c r="I63" s="65">
        <v>8000</v>
      </c>
      <c r="J63" s="65"/>
      <c r="K63" s="165"/>
      <c r="L63" s="65">
        <v>8000</v>
      </c>
      <c r="M63" s="165"/>
      <c r="N63" s="65"/>
      <c r="O63" s="65"/>
      <c r="P63" s="165"/>
      <c r="Q63" s="65"/>
      <c r="R63" s="65"/>
      <c r="S63" s="65"/>
      <c r="T63" s="65"/>
      <c r="U63" s="65"/>
      <c r="V63" s="65"/>
      <c r="W63" s="65"/>
    </row>
    <row r="64" ht="30" customHeight="true" spans="1:23">
      <c r="A64" s="165" t="str">
        <f t="shared" si="0"/>
        <v>       玉溪市卫生健康委员会</v>
      </c>
      <c r="B64" s="165" t="s">
        <v>324</v>
      </c>
      <c r="C64" s="165" t="s">
        <v>325</v>
      </c>
      <c r="D64" s="165" t="s">
        <v>125</v>
      </c>
      <c r="E64" s="165" t="s">
        <v>226</v>
      </c>
      <c r="F64" s="165" t="s">
        <v>227</v>
      </c>
      <c r="G64" s="165" t="s">
        <v>228</v>
      </c>
      <c r="H64" s="168">
        <v>175000</v>
      </c>
      <c r="I64" s="65">
        <v>175000</v>
      </c>
      <c r="J64" s="65"/>
      <c r="K64" s="165"/>
      <c r="L64" s="65">
        <v>175000</v>
      </c>
      <c r="M64" s="165"/>
      <c r="N64" s="65"/>
      <c r="O64" s="65"/>
      <c r="P64" s="165"/>
      <c r="Q64" s="65"/>
      <c r="R64" s="65"/>
      <c r="S64" s="65"/>
      <c r="T64" s="65"/>
      <c r="U64" s="65"/>
      <c r="V64" s="65"/>
      <c r="W64" s="65"/>
    </row>
    <row r="65" ht="20.25" customHeight="true" spans="1:23">
      <c r="A65" s="165" t="str">
        <f t="shared" si="0"/>
        <v>       玉溪市卫生健康委员会</v>
      </c>
      <c r="B65" s="165" t="s">
        <v>326</v>
      </c>
      <c r="C65" s="165" t="s">
        <v>327</v>
      </c>
      <c r="D65" s="165" t="s">
        <v>123</v>
      </c>
      <c r="E65" s="165" t="s">
        <v>218</v>
      </c>
      <c r="F65" s="165" t="s">
        <v>328</v>
      </c>
      <c r="G65" s="165" t="s">
        <v>327</v>
      </c>
      <c r="H65" s="168">
        <v>96000</v>
      </c>
      <c r="I65" s="65">
        <v>96000</v>
      </c>
      <c r="J65" s="65"/>
      <c r="K65" s="165"/>
      <c r="L65" s="65">
        <v>96000</v>
      </c>
      <c r="M65" s="165"/>
      <c r="N65" s="65"/>
      <c r="O65" s="65"/>
      <c r="P65" s="165"/>
      <c r="Q65" s="65"/>
      <c r="R65" s="65"/>
      <c r="S65" s="65"/>
      <c r="T65" s="65"/>
      <c r="U65" s="65"/>
      <c r="V65" s="65"/>
      <c r="W65" s="65"/>
    </row>
    <row r="66" ht="20.25" customHeight="true" spans="1:23">
      <c r="A66" s="165" t="str">
        <f t="shared" si="0"/>
        <v>       玉溪市卫生健康委员会</v>
      </c>
      <c r="B66" s="165" t="s">
        <v>329</v>
      </c>
      <c r="C66" s="165" t="s">
        <v>330</v>
      </c>
      <c r="D66" s="165" t="s">
        <v>123</v>
      </c>
      <c r="E66" s="165" t="s">
        <v>218</v>
      </c>
      <c r="F66" s="165" t="s">
        <v>331</v>
      </c>
      <c r="G66" s="165" t="s">
        <v>330</v>
      </c>
      <c r="H66" s="168">
        <v>198000</v>
      </c>
      <c r="I66" s="65">
        <v>198000</v>
      </c>
      <c r="J66" s="65"/>
      <c r="K66" s="165"/>
      <c r="L66" s="65">
        <v>198000</v>
      </c>
      <c r="M66" s="165"/>
      <c r="N66" s="65"/>
      <c r="O66" s="65"/>
      <c r="P66" s="165"/>
      <c r="Q66" s="65"/>
      <c r="R66" s="65"/>
      <c r="S66" s="65"/>
      <c r="T66" s="65"/>
      <c r="U66" s="65"/>
      <c r="V66" s="65"/>
      <c r="W66" s="65"/>
    </row>
    <row r="67" ht="20.25" customHeight="true" spans="1:23">
      <c r="A67" s="171" t="s">
        <v>67</v>
      </c>
      <c r="B67" s="165"/>
      <c r="C67" s="165"/>
      <c r="D67" s="165"/>
      <c r="E67" s="165"/>
      <c r="F67" s="165"/>
      <c r="G67" s="165"/>
      <c r="H67" s="168">
        <v>24607815.51</v>
      </c>
      <c r="I67" s="65">
        <v>24607815.51</v>
      </c>
      <c r="J67" s="65">
        <v>11947815.08</v>
      </c>
      <c r="K67" s="165"/>
      <c r="L67" s="65">
        <v>12660000.43</v>
      </c>
      <c r="M67" s="165"/>
      <c r="N67" s="65"/>
      <c r="O67" s="65"/>
      <c r="P67" s="165"/>
      <c r="Q67" s="65"/>
      <c r="R67" s="65"/>
      <c r="S67" s="65"/>
      <c r="T67" s="65"/>
      <c r="U67" s="65"/>
      <c r="V67" s="65"/>
      <c r="W67" s="65"/>
    </row>
    <row r="68" ht="20.25" customHeight="true" spans="1:23">
      <c r="A68" s="165" t="str">
        <f t="shared" ref="A68:A106" si="1">"       "&amp;"玉溪市疾病预防控制中心"</f>
        <v>       玉溪市疾病预防控制中心</v>
      </c>
      <c r="B68" s="165" t="s">
        <v>332</v>
      </c>
      <c r="C68" s="165" t="s">
        <v>225</v>
      </c>
      <c r="D68" s="165" t="s">
        <v>136</v>
      </c>
      <c r="E68" s="165" t="s">
        <v>333</v>
      </c>
      <c r="F68" s="165" t="s">
        <v>219</v>
      </c>
      <c r="G68" s="165" t="s">
        <v>220</v>
      </c>
      <c r="H68" s="168">
        <v>4898508</v>
      </c>
      <c r="I68" s="65">
        <v>4898508</v>
      </c>
      <c r="J68" s="65">
        <v>2143097.25</v>
      </c>
      <c r="K68" s="165"/>
      <c r="L68" s="65">
        <v>2755410.75</v>
      </c>
      <c r="M68" s="165"/>
      <c r="N68" s="65"/>
      <c r="O68" s="65"/>
      <c r="P68" s="165"/>
      <c r="Q68" s="65"/>
      <c r="R68" s="65"/>
      <c r="S68" s="65"/>
      <c r="T68" s="65"/>
      <c r="U68" s="65"/>
      <c r="V68" s="65"/>
      <c r="W68" s="65"/>
    </row>
    <row r="69" ht="20.25" customHeight="true" spans="1:23">
      <c r="A69" s="165" t="str">
        <f t="shared" si="1"/>
        <v>       玉溪市疾病预防控制中心</v>
      </c>
      <c r="B69" s="165" t="s">
        <v>332</v>
      </c>
      <c r="C69" s="165" t="s">
        <v>225</v>
      </c>
      <c r="D69" s="165" t="s">
        <v>136</v>
      </c>
      <c r="E69" s="165" t="s">
        <v>333</v>
      </c>
      <c r="F69" s="165" t="s">
        <v>221</v>
      </c>
      <c r="G69" s="165" t="s">
        <v>222</v>
      </c>
      <c r="H69" s="168">
        <v>541488</v>
      </c>
      <c r="I69" s="65">
        <v>541488</v>
      </c>
      <c r="J69" s="65">
        <v>236901</v>
      </c>
      <c r="K69" s="165"/>
      <c r="L69" s="65">
        <v>304587</v>
      </c>
      <c r="M69" s="165"/>
      <c r="N69" s="65"/>
      <c r="O69" s="65"/>
      <c r="P69" s="165"/>
      <c r="Q69" s="65"/>
      <c r="R69" s="65"/>
      <c r="S69" s="65"/>
      <c r="T69" s="65"/>
      <c r="U69" s="65"/>
      <c r="V69" s="65"/>
      <c r="W69" s="65"/>
    </row>
    <row r="70" ht="20.25" customHeight="true" spans="1:23">
      <c r="A70" s="165" t="str">
        <f t="shared" si="1"/>
        <v>       玉溪市疾病预防控制中心</v>
      </c>
      <c r="B70" s="165" t="s">
        <v>332</v>
      </c>
      <c r="C70" s="165" t="s">
        <v>225</v>
      </c>
      <c r="D70" s="165" t="s">
        <v>136</v>
      </c>
      <c r="E70" s="165" t="s">
        <v>333</v>
      </c>
      <c r="F70" s="165" t="s">
        <v>227</v>
      </c>
      <c r="G70" s="165" t="s">
        <v>228</v>
      </c>
      <c r="H70" s="168">
        <v>1371600</v>
      </c>
      <c r="I70" s="65">
        <v>1371600</v>
      </c>
      <c r="J70" s="65">
        <v>600075</v>
      </c>
      <c r="K70" s="165"/>
      <c r="L70" s="65">
        <v>771525</v>
      </c>
      <c r="M70" s="165"/>
      <c r="N70" s="65"/>
      <c r="O70" s="65"/>
      <c r="P70" s="165"/>
      <c r="Q70" s="65"/>
      <c r="R70" s="65"/>
      <c r="S70" s="65"/>
      <c r="T70" s="65"/>
      <c r="U70" s="65"/>
      <c r="V70" s="65"/>
      <c r="W70" s="65"/>
    </row>
    <row r="71" ht="20.25" customHeight="true" spans="1:23">
      <c r="A71" s="165" t="str">
        <f t="shared" si="1"/>
        <v>       玉溪市疾病预防控制中心</v>
      </c>
      <c r="B71" s="165" t="s">
        <v>332</v>
      </c>
      <c r="C71" s="165" t="s">
        <v>225</v>
      </c>
      <c r="D71" s="165" t="s">
        <v>161</v>
      </c>
      <c r="E71" s="165" t="s">
        <v>223</v>
      </c>
      <c r="F71" s="165" t="s">
        <v>221</v>
      </c>
      <c r="G71" s="165" t="s">
        <v>222</v>
      </c>
      <c r="H71" s="168">
        <v>124752</v>
      </c>
      <c r="I71" s="65">
        <v>124752</v>
      </c>
      <c r="J71" s="65"/>
      <c r="K71" s="165"/>
      <c r="L71" s="65">
        <v>124752</v>
      </c>
      <c r="M71" s="165"/>
      <c r="N71" s="65"/>
      <c r="O71" s="65"/>
      <c r="P71" s="165"/>
      <c r="Q71" s="65"/>
      <c r="R71" s="65"/>
      <c r="S71" s="65"/>
      <c r="T71" s="65"/>
      <c r="U71" s="65"/>
      <c r="V71" s="65"/>
      <c r="W71" s="65"/>
    </row>
    <row r="72" ht="33" customHeight="true" spans="1:23">
      <c r="A72" s="165" t="str">
        <f t="shared" si="1"/>
        <v>       玉溪市疾病预防控制中心</v>
      </c>
      <c r="B72" s="165" t="s">
        <v>334</v>
      </c>
      <c r="C72" s="165" t="s">
        <v>230</v>
      </c>
      <c r="D72" s="165" t="s">
        <v>115</v>
      </c>
      <c r="E72" s="165" t="s">
        <v>231</v>
      </c>
      <c r="F72" s="165" t="s">
        <v>232</v>
      </c>
      <c r="G72" s="165" t="s">
        <v>233</v>
      </c>
      <c r="H72" s="168">
        <v>1515864.96</v>
      </c>
      <c r="I72" s="65">
        <v>1515864.96</v>
      </c>
      <c r="J72" s="65">
        <v>378966.24</v>
      </c>
      <c r="K72" s="165"/>
      <c r="L72" s="65">
        <v>1136898.72</v>
      </c>
      <c r="M72" s="165"/>
      <c r="N72" s="65"/>
      <c r="O72" s="65"/>
      <c r="P72" s="165"/>
      <c r="Q72" s="65"/>
      <c r="R72" s="65"/>
      <c r="S72" s="65"/>
      <c r="T72" s="65"/>
      <c r="U72" s="65"/>
      <c r="V72" s="65"/>
      <c r="W72" s="65"/>
    </row>
    <row r="73" ht="20.25" customHeight="true" spans="1:23">
      <c r="A73" s="165" t="str">
        <f t="shared" si="1"/>
        <v>       玉溪市疾病预防控制中心</v>
      </c>
      <c r="B73" s="165" t="s">
        <v>334</v>
      </c>
      <c r="C73" s="165" t="s">
        <v>230</v>
      </c>
      <c r="D73" s="165" t="s">
        <v>136</v>
      </c>
      <c r="E73" s="165" t="s">
        <v>333</v>
      </c>
      <c r="F73" s="165" t="s">
        <v>234</v>
      </c>
      <c r="G73" s="165" t="s">
        <v>235</v>
      </c>
      <c r="H73" s="168">
        <v>69176.56</v>
      </c>
      <c r="I73" s="65">
        <v>69176.56</v>
      </c>
      <c r="J73" s="65">
        <v>17294.14</v>
      </c>
      <c r="K73" s="165"/>
      <c r="L73" s="65">
        <v>51882.42</v>
      </c>
      <c r="M73" s="165"/>
      <c r="N73" s="65"/>
      <c r="O73" s="65"/>
      <c r="P73" s="165"/>
      <c r="Q73" s="65"/>
      <c r="R73" s="65"/>
      <c r="S73" s="65"/>
      <c r="T73" s="65"/>
      <c r="U73" s="65"/>
      <c r="V73" s="65"/>
      <c r="W73" s="65"/>
    </row>
    <row r="74" ht="20.25" customHeight="true" spans="1:23">
      <c r="A74" s="165" t="str">
        <f t="shared" si="1"/>
        <v>       玉溪市疾病预防控制中心</v>
      </c>
      <c r="B74" s="165" t="s">
        <v>334</v>
      </c>
      <c r="C74" s="165" t="s">
        <v>230</v>
      </c>
      <c r="D74" s="165" t="s">
        <v>148</v>
      </c>
      <c r="E74" s="165" t="s">
        <v>241</v>
      </c>
      <c r="F74" s="165" t="s">
        <v>237</v>
      </c>
      <c r="G74" s="165" t="s">
        <v>238</v>
      </c>
      <c r="H74" s="168">
        <v>786354.95</v>
      </c>
      <c r="I74" s="65">
        <v>786354.95</v>
      </c>
      <c r="J74" s="65">
        <v>196588.74</v>
      </c>
      <c r="K74" s="165"/>
      <c r="L74" s="65">
        <v>589766.21</v>
      </c>
      <c r="M74" s="165"/>
      <c r="N74" s="65"/>
      <c r="O74" s="65"/>
      <c r="P74" s="165"/>
      <c r="Q74" s="65"/>
      <c r="R74" s="65"/>
      <c r="S74" s="65"/>
      <c r="T74" s="65"/>
      <c r="U74" s="65"/>
      <c r="V74" s="65"/>
      <c r="W74" s="65"/>
    </row>
    <row r="75" ht="20.25" customHeight="true" spans="1:23">
      <c r="A75" s="165" t="str">
        <f t="shared" si="1"/>
        <v>       玉溪市疾病预防控制中心</v>
      </c>
      <c r="B75" s="165" t="s">
        <v>334</v>
      </c>
      <c r="C75" s="165" t="s">
        <v>230</v>
      </c>
      <c r="D75" s="165" t="s">
        <v>149</v>
      </c>
      <c r="E75" s="165" t="s">
        <v>242</v>
      </c>
      <c r="F75" s="165" t="s">
        <v>243</v>
      </c>
      <c r="G75" s="165" t="s">
        <v>244</v>
      </c>
      <c r="H75" s="168">
        <v>750907.8</v>
      </c>
      <c r="I75" s="65">
        <v>750907.8</v>
      </c>
      <c r="J75" s="65">
        <v>187726.95</v>
      </c>
      <c r="K75" s="165"/>
      <c r="L75" s="65">
        <v>563180.85</v>
      </c>
      <c r="M75" s="165"/>
      <c r="N75" s="65"/>
      <c r="O75" s="65"/>
      <c r="P75" s="165"/>
      <c r="Q75" s="65"/>
      <c r="R75" s="65"/>
      <c r="S75" s="65"/>
      <c r="T75" s="65"/>
      <c r="U75" s="65"/>
      <c r="V75" s="65"/>
      <c r="W75" s="65"/>
    </row>
    <row r="76" ht="20.25" customHeight="true" spans="1:23">
      <c r="A76" s="165" t="str">
        <f t="shared" si="1"/>
        <v>       玉溪市疾病预防控制中心</v>
      </c>
      <c r="B76" s="165" t="s">
        <v>334</v>
      </c>
      <c r="C76" s="165" t="s">
        <v>230</v>
      </c>
      <c r="D76" s="165" t="s">
        <v>150</v>
      </c>
      <c r="E76" s="165" t="s">
        <v>245</v>
      </c>
      <c r="F76" s="165" t="s">
        <v>234</v>
      </c>
      <c r="G76" s="165" t="s">
        <v>235</v>
      </c>
      <c r="H76" s="168">
        <v>100420.04</v>
      </c>
      <c r="I76" s="65">
        <v>100420.04</v>
      </c>
      <c r="J76" s="65">
        <v>71287.01</v>
      </c>
      <c r="K76" s="165"/>
      <c r="L76" s="65">
        <v>29133.03</v>
      </c>
      <c r="M76" s="165"/>
      <c r="N76" s="65"/>
      <c r="O76" s="65"/>
      <c r="P76" s="165"/>
      <c r="Q76" s="65"/>
      <c r="R76" s="65"/>
      <c r="S76" s="65"/>
      <c r="T76" s="65"/>
      <c r="U76" s="65"/>
      <c r="V76" s="65"/>
      <c r="W76" s="65"/>
    </row>
    <row r="77" ht="20.25" customHeight="true" spans="1:23">
      <c r="A77" s="165" t="str">
        <f t="shared" si="1"/>
        <v>       玉溪市疾病预防控制中心</v>
      </c>
      <c r="B77" s="165" t="s">
        <v>335</v>
      </c>
      <c r="C77" s="165" t="s">
        <v>247</v>
      </c>
      <c r="D77" s="165" t="s">
        <v>160</v>
      </c>
      <c r="E77" s="165" t="s">
        <v>247</v>
      </c>
      <c r="F77" s="165" t="s">
        <v>248</v>
      </c>
      <c r="G77" s="165" t="s">
        <v>247</v>
      </c>
      <c r="H77" s="168">
        <v>1674384</v>
      </c>
      <c r="I77" s="65">
        <v>1674384</v>
      </c>
      <c r="J77" s="65">
        <v>418596</v>
      </c>
      <c r="K77" s="165"/>
      <c r="L77" s="65">
        <v>1255788</v>
      </c>
      <c r="M77" s="165"/>
      <c r="N77" s="65"/>
      <c r="O77" s="65"/>
      <c r="P77" s="165"/>
      <c r="Q77" s="65"/>
      <c r="R77" s="65"/>
      <c r="S77" s="65"/>
      <c r="T77" s="65"/>
      <c r="U77" s="65"/>
      <c r="V77" s="65"/>
      <c r="W77" s="65"/>
    </row>
    <row r="78" ht="20.25" customHeight="true" spans="1:23">
      <c r="A78" s="165" t="str">
        <f t="shared" si="1"/>
        <v>       玉溪市疾病预防控制中心</v>
      </c>
      <c r="B78" s="165" t="s">
        <v>336</v>
      </c>
      <c r="C78" s="165" t="s">
        <v>250</v>
      </c>
      <c r="D78" s="165" t="s">
        <v>114</v>
      </c>
      <c r="E78" s="165" t="s">
        <v>337</v>
      </c>
      <c r="F78" s="165" t="s">
        <v>254</v>
      </c>
      <c r="G78" s="165" t="s">
        <v>255</v>
      </c>
      <c r="H78" s="168">
        <v>2032800</v>
      </c>
      <c r="I78" s="65">
        <v>2032800</v>
      </c>
      <c r="J78" s="65">
        <v>2032800</v>
      </c>
      <c r="K78" s="165"/>
      <c r="L78" s="65"/>
      <c r="M78" s="165"/>
      <c r="N78" s="65"/>
      <c r="O78" s="65"/>
      <c r="P78" s="165"/>
      <c r="Q78" s="65"/>
      <c r="R78" s="65"/>
      <c r="S78" s="65"/>
      <c r="T78" s="65"/>
      <c r="U78" s="65"/>
      <c r="V78" s="65"/>
      <c r="W78" s="65"/>
    </row>
    <row r="79" ht="20.25" customHeight="true" spans="1:23">
      <c r="A79" s="165" t="str">
        <f t="shared" si="1"/>
        <v>       玉溪市疾病预防控制中心</v>
      </c>
      <c r="B79" s="165" t="s">
        <v>338</v>
      </c>
      <c r="C79" s="165" t="s">
        <v>261</v>
      </c>
      <c r="D79" s="165" t="s">
        <v>136</v>
      </c>
      <c r="E79" s="165" t="s">
        <v>333</v>
      </c>
      <c r="F79" s="165" t="s">
        <v>262</v>
      </c>
      <c r="G79" s="165" t="s">
        <v>263</v>
      </c>
      <c r="H79" s="168">
        <v>144100</v>
      </c>
      <c r="I79" s="65">
        <v>144100</v>
      </c>
      <c r="J79" s="65"/>
      <c r="K79" s="165"/>
      <c r="L79" s="65">
        <v>144100</v>
      </c>
      <c r="M79" s="165"/>
      <c r="N79" s="65"/>
      <c r="O79" s="65"/>
      <c r="P79" s="165"/>
      <c r="Q79" s="65"/>
      <c r="R79" s="65"/>
      <c r="S79" s="65"/>
      <c r="T79" s="65"/>
      <c r="U79" s="65"/>
      <c r="V79" s="65"/>
      <c r="W79" s="65"/>
    </row>
    <row r="80" ht="20.25" customHeight="true" spans="1:23">
      <c r="A80" s="165" t="str">
        <f t="shared" si="1"/>
        <v>       玉溪市疾病预防控制中心</v>
      </c>
      <c r="B80" s="165" t="s">
        <v>339</v>
      </c>
      <c r="C80" s="165" t="s">
        <v>269</v>
      </c>
      <c r="D80" s="165" t="s">
        <v>136</v>
      </c>
      <c r="E80" s="165" t="s">
        <v>333</v>
      </c>
      <c r="F80" s="165" t="s">
        <v>270</v>
      </c>
      <c r="G80" s="165" t="s">
        <v>269</v>
      </c>
      <c r="H80" s="168">
        <v>202791.12</v>
      </c>
      <c r="I80" s="65">
        <v>202791.12</v>
      </c>
      <c r="J80" s="65"/>
      <c r="K80" s="165"/>
      <c r="L80" s="65">
        <v>202791.12</v>
      </c>
      <c r="M80" s="165"/>
      <c r="N80" s="65"/>
      <c r="O80" s="65"/>
      <c r="P80" s="165"/>
      <c r="Q80" s="65"/>
      <c r="R80" s="65"/>
      <c r="S80" s="65"/>
      <c r="T80" s="65"/>
      <c r="U80" s="65"/>
      <c r="V80" s="65"/>
      <c r="W80" s="65"/>
    </row>
    <row r="81" ht="20.25" customHeight="true" spans="1:23">
      <c r="A81" s="165" t="str">
        <f t="shared" si="1"/>
        <v>       玉溪市疾病预防控制中心</v>
      </c>
      <c r="B81" s="165" t="s">
        <v>340</v>
      </c>
      <c r="C81" s="165" t="s">
        <v>272</v>
      </c>
      <c r="D81" s="165" t="s">
        <v>114</v>
      </c>
      <c r="E81" s="165" t="s">
        <v>337</v>
      </c>
      <c r="F81" s="165" t="s">
        <v>273</v>
      </c>
      <c r="G81" s="165" t="s">
        <v>274</v>
      </c>
      <c r="H81" s="168">
        <v>46200</v>
      </c>
      <c r="I81" s="65">
        <v>46200</v>
      </c>
      <c r="J81" s="65">
        <v>46200</v>
      </c>
      <c r="K81" s="165"/>
      <c r="L81" s="65"/>
      <c r="M81" s="165"/>
      <c r="N81" s="65"/>
      <c r="O81" s="65"/>
      <c r="P81" s="165"/>
      <c r="Q81" s="65"/>
      <c r="R81" s="65"/>
      <c r="S81" s="65"/>
      <c r="T81" s="65"/>
      <c r="U81" s="65"/>
      <c r="V81" s="65"/>
      <c r="W81" s="65"/>
    </row>
    <row r="82" ht="20.25" customHeight="true" spans="1:23">
      <c r="A82" s="165" t="str">
        <f t="shared" si="1"/>
        <v>       玉溪市疾病预防控制中心</v>
      </c>
      <c r="B82" s="165" t="s">
        <v>340</v>
      </c>
      <c r="C82" s="165" t="s">
        <v>272</v>
      </c>
      <c r="D82" s="165" t="s">
        <v>136</v>
      </c>
      <c r="E82" s="165" t="s">
        <v>333</v>
      </c>
      <c r="F82" s="165" t="s">
        <v>275</v>
      </c>
      <c r="G82" s="165" t="s">
        <v>276</v>
      </c>
      <c r="H82" s="168">
        <v>130000</v>
      </c>
      <c r="I82" s="65">
        <v>130000</v>
      </c>
      <c r="J82" s="65">
        <v>28157.75</v>
      </c>
      <c r="K82" s="165"/>
      <c r="L82" s="65">
        <v>101842.25</v>
      </c>
      <c r="M82" s="165"/>
      <c r="N82" s="65"/>
      <c r="O82" s="65"/>
      <c r="P82" s="165"/>
      <c r="Q82" s="65"/>
      <c r="R82" s="65"/>
      <c r="S82" s="65"/>
      <c r="T82" s="65"/>
      <c r="U82" s="65"/>
      <c r="V82" s="65"/>
      <c r="W82" s="65"/>
    </row>
    <row r="83" ht="20.25" customHeight="true" spans="1:23">
      <c r="A83" s="165" t="str">
        <f t="shared" si="1"/>
        <v>       玉溪市疾病预防控制中心</v>
      </c>
      <c r="B83" s="165" t="s">
        <v>340</v>
      </c>
      <c r="C83" s="165" t="s">
        <v>272</v>
      </c>
      <c r="D83" s="165" t="s">
        <v>136</v>
      </c>
      <c r="E83" s="165" t="s">
        <v>333</v>
      </c>
      <c r="F83" s="165" t="s">
        <v>341</v>
      </c>
      <c r="G83" s="165" t="s">
        <v>342</v>
      </c>
      <c r="H83" s="168">
        <v>30000</v>
      </c>
      <c r="I83" s="65">
        <v>30000</v>
      </c>
      <c r="J83" s="65">
        <v>7500</v>
      </c>
      <c r="K83" s="165"/>
      <c r="L83" s="65">
        <v>22500</v>
      </c>
      <c r="M83" s="165"/>
      <c r="N83" s="65"/>
      <c r="O83" s="65"/>
      <c r="P83" s="165"/>
      <c r="Q83" s="65"/>
      <c r="R83" s="65"/>
      <c r="S83" s="65"/>
      <c r="T83" s="65"/>
      <c r="U83" s="65"/>
      <c r="V83" s="65"/>
      <c r="W83" s="65"/>
    </row>
    <row r="84" ht="20.25" customHeight="true" spans="1:23">
      <c r="A84" s="165" t="str">
        <f t="shared" si="1"/>
        <v>       玉溪市疾病预防控制中心</v>
      </c>
      <c r="B84" s="165" t="s">
        <v>340</v>
      </c>
      <c r="C84" s="165" t="s">
        <v>272</v>
      </c>
      <c r="D84" s="165" t="s">
        <v>136</v>
      </c>
      <c r="E84" s="165" t="s">
        <v>333</v>
      </c>
      <c r="F84" s="165" t="s">
        <v>308</v>
      </c>
      <c r="G84" s="165" t="s">
        <v>309</v>
      </c>
      <c r="H84" s="168">
        <v>50000</v>
      </c>
      <c r="I84" s="65">
        <v>50000</v>
      </c>
      <c r="J84" s="65">
        <v>12500</v>
      </c>
      <c r="K84" s="165"/>
      <c r="L84" s="65">
        <v>37500</v>
      </c>
      <c r="M84" s="165"/>
      <c r="N84" s="65"/>
      <c r="O84" s="65"/>
      <c r="P84" s="165"/>
      <c r="Q84" s="65"/>
      <c r="R84" s="65"/>
      <c r="S84" s="65"/>
      <c r="T84" s="65"/>
      <c r="U84" s="65"/>
      <c r="V84" s="65"/>
      <c r="W84" s="65"/>
    </row>
    <row r="85" ht="20.25" customHeight="true" spans="1:23">
      <c r="A85" s="165" t="str">
        <f t="shared" si="1"/>
        <v>       玉溪市疾病预防控制中心</v>
      </c>
      <c r="B85" s="165" t="s">
        <v>340</v>
      </c>
      <c r="C85" s="165" t="s">
        <v>272</v>
      </c>
      <c r="D85" s="165" t="s">
        <v>136</v>
      </c>
      <c r="E85" s="165" t="s">
        <v>333</v>
      </c>
      <c r="F85" s="165" t="s">
        <v>310</v>
      </c>
      <c r="G85" s="165" t="s">
        <v>311</v>
      </c>
      <c r="H85" s="168">
        <v>150000</v>
      </c>
      <c r="I85" s="65">
        <v>150000</v>
      </c>
      <c r="J85" s="65">
        <v>37500</v>
      </c>
      <c r="K85" s="165"/>
      <c r="L85" s="65">
        <v>112500</v>
      </c>
      <c r="M85" s="165"/>
      <c r="N85" s="65"/>
      <c r="O85" s="65"/>
      <c r="P85" s="165"/>
      <c r="Q85" s="65"/>
      <c r="R85" s="65"/>
      <c r="S85" s="65"/>
      <c r="T85" s="65"/>
      <c r="U85" s="65"/>
      <c r="V85" s="65"/>
      <c r="W85" s="65"/>
    </row>
    <row r="86" ht="20.25" customHeight="true" spans="1:23">
      <c r="A86" s="165" t="str">
        <f t="shared" si="1"/>
        <v>       玉溪市疾病预防控制中心</v>
      </c>
      <c r="B86" s="165" t="s">
        <v>340</v>
      </c>
      <c r="C86" s="165" t="s">
        <v>272</v>
      </c>
      <c r="D86" s="165" t="s">
        <v>136</v>
      </c>
      <c r="E86" s="165" t="s">
        <v>333</v>
      </c>
      <c r="F86" s="165" t="s">
        <v>312</v>
      </c>
      <c r="G86" s="165" t="s">
        <v>313</v>
      </c>
      <c r="H86" s="168">
        <v>75000</v>
      </c>
      <c r="I86" s="65">
        <v>75000</v>
      </c>
      <c r="J86" s="65">
        <v>18750</v>
      </c>
      <c r="K86" s="165"/>
      <c r="L86" s="65">
        <v>56250</v>
      </c>
      <c r="M86" s="165"/>
      <c r="N86" s="65"/>
      <c r="O86" s="65"/>
      <c r="P86" s="165"/>
      <c r="Q86" s="65"/>
      <c r="R86" s="65"/>
      <c r="S86" s="65"/>
      <c r="T86" s="65"/>
      <c r="U86" s="65"/>
      <c r="V86" s="65"/>
      <c r="W86" s="65"/>
    </row>
    <row r="87" ht="20.25" customHeight="true" spans="1:23">
      <c r="A87" s="165" t="str">
        <f t="shared" si="1"/>
        <v>       玉溪市疾病预防控制中心</v>
      </c>
      <c r="B87" s="165" t="s">
        <v>340</v>
      </c>
      <c r="C87" s="165" t="s">
        <v>272</v>
      </c>
      <c r="D87" s="165" t="s">
        <v>136</v>
      </c>
      <c r="E87" s="165" t="s">
        <v>333</v>
      </c>
      <c r="F87" s="165" t="s">
        <v>331</v>
      </c>
      <c r="G87" s="165" t="s">
        <v>330</v>
      </c>
      <c r="H87" s="168">
        <v>5700</v>
      </c>
      <c r="I87" s="65">
        <v>5700</v>
      </c>
      <c r="J87" s="65">
        <v>1425</v>
      </c>
      <c r="K87" s="165"/>
      <c r="L87" s="65">
        <v>4275</v>
      </c>
      <c r="M87" s="165"/>
      <c r="N87" s="65"/>
      <c r="O87" s="65"/>
      <c r="P87" s="165"/>
      <c r="Q87" s="65"/>
      <c r="R87" s="65"/>
      <c r="S87" s="65"/>
      <c r="T87" s="65"/>
      <c r="U87" s="65"/>
      <c r="V87" s="65"/>
      <c r="W87" s="65"/>
    </row>
    <row r="88" ht="20.25" customHeight="true" spans="1:23">
      <c r="A88" s="165" t="str">
        <f t="shared" si="1"/>
        <v>       玉溪市疾病预防控制中心</v>
      </c>
      <c r="B88" s="165" t="s">
        <v>340</v>
      </c>
      <c r="C88" s="165" t="s">
        <v>272</v>
      </c>
      <c r="D88" s="165" t="s">
        <v>136</v>
      </c>
      <c r="E88" s="165" t="s">
        <v>333</v>
      </c>
      <c r="F88" s="165" t="s">
        <v>277</v>
      </c>
      <c r="G88" s="165" t="s">
        <v>278</v>
      </c>
      <c r="H88" s="168">
        <v>100000</v>
      </c>
      <c r="I88" s="65">
        <v>100000</v>
      </c>
      <c r="J88" s="65">
        <v>25000</v>
      </c>
      <c r="K88" s="165"/>
      <c r="L88" s="65">
        <v>75000</v>
      </c>
      <c r="M88" s="165"/>
      <c r="N88" s="65"/>
      <c r="O88" s="65"/>
      <c r="P88" s="165"/>
      <c r="Q88" s="65"/>
      <c r="R88" s="65"/>
      <c r="S88" s="65"/>
      <c r="T88" s="65"/>
      <c r="U88" s="65"/>
      <c r="V88" s="65"/>
      <c r="W88" s="65"/>
    </row>
    <row r="89" ht="20.25" customHeight="true" spans="1:23">
      <c r="A89" s="165" t="str">
        <f t="shared" si="1"/>
        <v>       玉溪市疾病预防控制中心</v>
      </c>
      <c r="B89" s="165" t="s">
        <v>340</v>
      </c>
      <c r="C89" s="165" t="s">
        <v>272</v>
      </c>
      <c r="D89" s="165" t="s">
        <v>136</v>
      </c>
      <c r="E89" s="165" t="s">
        <v>333</v>
      </c>
      <c r="F89" s="165" t="s">
        <v>314</v>
      </c>
      <c r="G89" s="165" t="s">
        <v>315</v>
      </c>
      <c r="H89" s="168">
        <v>124300</v>
      </c>
      <c r="I89" s="65">
        <v>124300</v>
      </c>
      <c r="J89" s="65">
        <v>31075</v>
      </c>
      <c r="K89" s="165"/>
      <c r="L89" s="65">
        <v>93225</v>
      </c>
      <c r="M89" s="165"/>
      <c r="N89" s="65"/>
      <c r="O89" s="65"/>
      <c r="P89" s="165"/>
      <c r="Q89" s="65"/>
      <c r="R89" s="65"/>
      <c r="S89" s="65"/>
      <c r="T89" s="65"/>
      <c r="U89" s="65"/>
      <c r="V89" s="65"/>
      <c r="W89" s="65"/>
    </row>
    <row r="90" ht="20.25" customHeight="true" spans="1:23">
      <c r="A90" s="165" t="str">
        <f t="shared" si="1"/>
        <v>       玉溪市疾病预防控制中心</v>
      </c>
      <c r="B90" s="165" t="s">
        <v>340</v>
      </c>
      <c r="C90" s="165" t="s">
        <v>272</v>
      </c>
      <c r="D90" s="165" t="s">
        <v>136</v>
      </c>
      <c r="E90" s="165" t="s">
        <v>333</v>
      </c>
      <c r="F90" s="165" t="s">
        <v>279</v>
      </c>
      <c r="G90" s="165" t="s">
        <v>280</v>
      </c>
      <c r="H90" s="168">
        <v>10000</v>
      </c>
      <c r="I90" s="65">
        <v>10000</v>
      </c>
      <c r="J90" s="65">
        <v>2500</v>
      </c>
      <c r="K90" s="165"/>
      <c r="L90" s="65">
        <v>7500</v>
      </c>
      <c r="M90" s="165"/>
      <c r="N90" s="65"/>
      <c r="O90" s="65"/>
      <c r="P90" s="165"/>
      <c r="Q90" s="65"/>
      <c r="R90" s="65"/>
      <c r="S90" s="65"/>
      <c r="T90" s="65"/>
      <c r="U90" s="65"/>
      <c r="V90" s="65"/>
      <c r="W90" s="65"/>
    </row>
    <row r="91" ht="20.25" customHeight="true" spans="1:23">
      <c r="A91" s="165" t="str">
        <f t="shared" si="1"/>
        <v>       玉溪市疾病预防控制中心</v>
      </c>
      <c r="B91" s="165" t="s">
        <v>340</v>
      </c>
      <c r="C91" s="165" t="s">
        <v>272</v>
      </c>
      <c r="D91" s="165" t="s">
        <v>136</v>
      </c>
      <c r="E91" s="165" t="s">
        <v>333</v>
      </c>
      <c r="F91" s="165" t="s">
        <v>281</v>
      </c>
      <c r="G91" s="165" t="s">
        <v>282</v>
      </c>
      <c r="H91" s="168">
        <v>30000</v>
      </c>
      <c r="I91" s="65">
        <v>30000</v>
      </c>
      <c r="J91" s="65">
        <v>7500</v>
      </c>
      <c r="K91" s="165"/>
      <c r="L91" s="65">
        <v>22500</v>
      </c>
      <c r="M91" s="165"/>
      <c r="N91" s="65"/>
      <c r="O91" s="65"/>
      <c r="P91" s="165"/>
      <c r="Q91" s="65"/>
      <c r="R91" s="65"/>
      <c r="S91" s="65"/>
      <c r="T91" s="65"/>
      <c r="U91" s="65"/>
      <c r="V91" s="65"/>
      <c r="W91" s="65"/>
    </row>
    <row r="92" ht="20.25" customHeight="true" spans="1:23">
      <c r="A92" s="165" t="str">
        <f t="shared" si="1"/>
        <v>       玉溪市疾病预防控制中心</v>
      </c>
      <c r="B92" s="165" t="s">
        <v>340</v>
      </c>
      <c r="C92" s="165" t="s">
        <v>272</v>
      </c>
      <c r="D92" s="165" t="s">
        <v>136</v>
      </c>
      <c r="E92" s="165" t="s">
        <v>333</v>
      </c>
      <c r="F92" s="165" t="s">
        <v>316</v>
      </c>
      <c r="G92" s="165" t="s">
        <v>317</v>
      </c>
      <c r="H92" s="168">
        <v>10000</v>
      </c>
      <c r="I92" s="65">
        <v>10000</v>
      </c>
      <c r="J92" s="65">
        <v>2500</v>
      </c>
      <c r="K92" s="165"/>
      <c r="L92" s="65">
        <v>7500</v>
      </c>
      <c r="M92" s="165"/>
      <c r="N92" s="65"/>
      <c r="O92" s="65"/>
      <c r="P92" s="165"/>
      <c r="Q92" s="65"/>
      <c r="R92" s="65"/>
      <c r="S92" s="65"/>
      <c r="T92" s="65"/>
      <c r="U92" s="65"/>
      <c r="V92" s="65"/>
      <c r="W92" s="65"/>
    </row>
    <row r="93" ht="20.25" customHeight="true" spans="1:23">
      <c r="A93" s="165" t="str">
        <f t="shared" si="1"/>
        <v>       玉溪市疾病预防控制中心</v>
      </c>
      <c r="B93" s="165" t="s">
        <v>340</v>
      </c>
      <c r="C93" s="165" t="s">
        <v>272</v>
      </c>
      <c r="D93" s="165" t="s">
        <v>136</v>
      </c>
      <c r="E93" s="165" t="s">
        <v>333</v>
      </c>
      <c r="F93" s="165" t="s">
        <v>283</v>
      </c>
      <c r="G93" s="165" t="s">
        <v>284</v>
      </c>
      <c r="H93" s="168">
        <v>84300</v>
      </c>
      <c r="I93" s="65">
        <v>84300</v>
      </c>
      <c r="J93" s="65">
        <v>21075</v>
      </c>
      <c r="K93" s="165"/>
      <c r="L93" s="65">
        <v>63225</v>
      </c>
      <c r="M93" s="165"/>
      <c r="N93" s="65"/>
      <c r="O93" s="65"/>
      <c r="P93" s="165"/>
      <c r="Q93" s="65"/>
      <c r="R93" s="65"/>
      <c r="S93" s="65"/>
      <c r="T93" s="65"/>
      <c r="U93" s="65"/>
      <c r="V93" s="65"/>
      <c r="W93" s="65"/>
    </row>
    <row r="94" ht="20.25" customHeight="true" spans="1:23">
      <c r="A94" s="165" t="str">
        <f t="shared" si="1"/>
        <v>       玉溪市疾病预防控制中心</v>
      </c>
      <c r="B94" s="165" t="s">
        <v>340</v>
      </c>
      <c r="C94" s="165" t="s">
        <v>272</v>
      </c>
      <c r="D94" s="165" t="s">
        <v>136</v>
      </c>
      <c r="E94" s="165" t="s">
        <v>333</v>
      </c>
      <c r="F94" s="165" t="s">
        <v>285</v>
      </c>
      <c r="G94" s="165" t="s">
        <v>286</v>
      </c>
      <c r="H94" s="168">
        <v>102000</v>
      </c>
      <c r="I94" s="65">
        <v>102000</v>
      </c>
      <c r="J94" s="65">
        <v>25500</v>
      </c>
      <c r="K94" s="165"/>
      <c r="L94" s="65">
        <v>76500</v>
      </c>
      <c r="M94" s="165"/>
      <c r="N94" s="65"/>
      <c r="O94" s="65"/>
      <c r="P94" s="165"/>
      <c r="Q94" s="65"/>
      <c r="R94" s="65"/>
      <c r="S94" s="65"/>
      <c r="T94" s="65"/>
      <c r="U94" s="65"/>
      <c r="V94" s="65"/>
      <c r="W94" s="65"/>
    </row>
    <row r="95" ht="20.25" customHeight="true" spans="1:23">
      <c r="A95" s="165" t="str">
        <f t="shared" si="1"/>
        <v>       玉溪市疾病预防控制中心</v>
      </c>
      <c r="B95" s="165" t="s">
        <v>340</v>
      </c>
      <c r="C95" s="165" t="s">
        <v>272</v>
      </c>
      <c r="D95" s="165" t="s">
        <v>136</v>
      </c>
      <c r="E95" s="165" t="s">
        <v>333</v>
      </c>
      <c r="F95" s="165" t="s">
        <v>273</v>
      </c>
      <c r="G95" s="165" t="s">
        <v>274</v>
      </c>
      <c r="H95" s="168">
        <v>210000</v>
      </c>
      <c r="I95" s="65">
        <v>210000</v>
      </c>
      <c r="J95" s="65">
        <v>52500</v>
      </c>
      <c r="K95" s="165"/>
      <c r="L95" s="65">
        <v>157500</v>
      </c>
      <c r="M95" s="165"/>
      <c r="N95" s="65"/>
      <c r="O95" s="65"/>
      <c r="P95" s="165"/>
      <c r="Q95" s="65"/>
      <c r="R95" s="65"/>
      <c r="S95" s="65"/>
      <c r="T95" s="65"/>
      <c r="U95" s="65"/>
      <c r="V95" s="65"/>
      <c r="W95" s="65"/>
    </row>
    <row r="96" ht="20.25" customHeight="true" spans="1:23">
      <c r="A96" s="165" t="str">
        <f t="shared" si="1"/>
        <v>       玉溪市疾病预防控制中心</v>
      </c>
      <c r="B96" s="165" t="s">
        <v>340</v>
      </c>
      <c r="C96" s="165" t="s">
        <v>272</v>
      </c>
      <c r="D96" s="165" t="s">
        <v>136</v>
      </c>
      <c r="E96" s="165" t="s">
        <v>333</v>
      </c>
      <c r="F96" s="165" t="s">
        <v>287</v>
      </c>
      <c r="G96" s="165" t="s">
        <v>288</v>
      </c>
      <c r="H96" s="168">
        <v>11500</v>
      </c>
      <c r="I96" s="65">
        <v>11500</v>
      </c>
      <c r="J96" s="65"/>
      <c r="K96" s="165"/>
      <c r="L96" s="65">
        <v>11500</v>
      </c>
      <c r="M96" s="165"/>
      <c r="N96" s="65"/>
      <c r="O96" s="65"/>
      <c r="P96" s="165"/>
      <c r="Q96" s="65"/>
      <c r="R96" s="65"/>
      <c r="S96" s="65"/>
      <c r="T96" s="65"/>
      <c r="U96" s="65"/>
      <c r="V96" s="65"/>
      <c r="W96" s="65"/>
    </row>
    <row r="97" ht="20.25" customHeight="true" spans="1:23">
      <c r="A97" s="165" t="str">
        <f t="shared" si="1"/>
        <v>       玉溪市疾病预防控制中心</v>
      </c>
      <c r="B97" s="165" t="s">
        <v>343</v>
      </c>
      <c r="C97" s="165" t="s">
        <v>344</v>
      </c>
      <c r="D97" s="165" t="s">
        <v>136</v>
      </c>
      <c r="E97" s="165" t="s">
        <v>333</v>
      </c>
      <c r="F97" s="165" t="s">
        <v>234</v>
      </c>
      <c r="G97" s="165" t="s">
        <v>235</v>
      </c>
      <c r="H97" s="168">
        <v>33200</v>
      </c>
      <c r="I97" s="65">
        <v>33200</v>
      </c>
      <c r="J97" s="65"/>
      <c r="K97" s="165"/>
      <c r="L97" s="65">
        <v>33200</v>
      </c>
      <c r="M97" s="165"/>
      <c r="N97" s="65"/>
      <c r="O97" s="65"/>
      <c r="P97" s="165"/>
      <c r="Q97" s="65"/>
      <c r="R97" s="65"/>
      <c r="S97" s="65"/>
      <c r="T97" s="65"/>
      <c r="U97" s="65"/>
      <c r="V97" s="65"/>
      <c r="W97" s="65"/>
    </row>
    <row r="98" ht="20.25" customHeight="true" spans="1:23">
      <c r="A98" s="165" t="str">
        <f t="shared" si="1"/>
        <v>       玉溪市疾病预防控制中心</v>
      </c>
      <c r="B98" s="165" t="s">
        <v>345</v>
      </c>
      <c r="C98" s="165" t="s">
        <v>306</v>
      </c>
      <c r="D98" s="165" t="s">
        <v>136</v>
      </c>
      <c r="E98" s="165" t="s">
        <v>333</v>
      </c>
      <c r="F98" s="165" t="s">
        <v>283</v>
      </c>
      <c r="G98" s="165" t="s">
        <v>284</v>
      </c>
      <c r="H98" s="168">
        <v>38156.64</v>
      </c>
      <c r="I98" s="65">
        <v>38156.64</v>
      </c>
      <c r="J98" s="65"/>
      <c r="K98" s="165"/>
      <c r="L98" s="65">
        <v>38156.64</v>
      </c>
      <c r="M98" s="165"/>
      <c r="N98" s="65"/>
      <c r="O98" s="65"/>
      <c r="P98" s="165"/>
      <c r="Q98" s="65"/>
      <c r="R98" s="65"/>
      <c r="S98" s="65"/>
      <c r="T98" s="65"/>
      <c r="U98" s="65"/>
      <c r="V98" s="65"/>
      <c r="W98" s="65"/>
    </row>
    <row r="99" ht="20.25" customHeight="true" spans="1:23">
      <c r="A99" s="165" t="str">
        <f t="shared" si="1"/>
        <v>       玉溪市疾病预防控制中心</v>
      </c>
      <c r="B99" s="165" t="s">
        <v>345</v>
      </c>
      <c r="C99" s="165" t="s">
        <v>306</v>
      </c>
      <c r="D99" s="165" t="s">
        <v>136</v>
      </c>
      <c r="E99" s="165" t="s">
        <v>333</v>
      </c>
      <c r="F99" s="165" t="s">
        <v>262</v>
      </c>
      <c r="G99" s="165" t="s">
        <v>263</v>
      </c>
      <c r="H99" s="168">
        <v>56000</v>
      </c>
      <c r="I99" s="65">
        <v>56000</v>
      </c>
      <c r="J99" s="65"/>
      <c r="K99" s="165"/>
      <c r="L99" s="65">
        <v>56000</v>
      </c>
      <c r="M99" s="165"/>
      <c r="N99" s="65"/>
      <c r="O99" s="65"/>
      <c r="P99" s="165"/>
      <c r="Q99" s="65"/>
      <c r="R99" s="65"/>
      <c r="S99" s="65"/>
      <c r="T99" s="65"/>
      <c r="U99" s="65"/>
      <c r="V99" s="65"/>
      <c r="W99" s="65"/>
    </row>
    <row r="100" ht="31" customHeight="true" spans="1:23">
      <c r="A100" s="165" t="str">
        <f t="shared" si="1"/>
        <v>       玉溪市疾病预防控制中心</v>
      </c>
      <c r="B100" s="165" t="s">
        <v>346</v>
      </c>
      <c r="C100" s="165" t="s">
        <v>325</v>
      </c>
      <c r="D100" s="165" t="s">
        <v>136</v>
      </c>
      <c r="E100" s="165" t="s">
        <v>333</v>
      </c>
      <c r="F100" s="165" t="s">
        <v>227</v>
      </c>
      <c r="G100" s="165" t="s">
        <v>228</v>
      </c>
      <c r="H100" s="168">
        <v>2550000</v>
      </c>
      <c r="I100" s="65">
        <v>2550000</v>
      </c>
      <c r="J100" s="65"/>
      <c r="K100" s="165"/>
      <c r="L100" s="65">
        <v>2550000</v>
      </c>
      <c r="M100" s="165"/>
      <c r="N100" s="65"/>
      <c r="O100" s="65"/>
      <c r="P100" s="165"/>
      <c r="Q100" s="65"/>
      <c r="R100" s="65"/>
      <c r="S100" s="65"/>
      <c r="T100" s="65"/>
      <c r="U100" s="65"/>
      <c r="V100" s="65"/>
      <c r="W100" s="65"/>
    </row>
    <row r="101" ht="20.25" customHeight="true" spans="1:23">
      <c r="A101" s="165" t="str">
        <f t="shared" si="1"/>
        <v>       玉溪市疾病预防控制中心</v>
      </c>
      <c r="B101" s="165" t="s">
        <v>347</v>
      </c>
      <c r="C101" s="165" t="s">
        <v>297</v>
      </c>
      <c r="D101" s="165" t="s">
        <v>116</v>
      </c>
      <c r="E101" s="165" t="s">
        <v>298</v>
      </c>
      <c r="F101" s="165" t="s">
        <v>299</v>
      </c>
      <c r="G101" s="165" t="s">
        <v>300</v>
      </c>
      <c r="H101" s="168">
        <v>900000</v>
      </c>
      <c r="I101" s="65">
        <v>900000</v>
      </c>
      <c r="J101" s="65"/>
      <c r="K101" s="165"/>
      <c r="L101" s="65">
        <v>900000</v>
      </c>
      <c r="M101" s="165"/>
      <c r="N101" s="65"/>
      <c r="O101" s="65"/>
      <c r="P101" s="165"/>
      <c r="Q101" s="65"/>
      <c r="R101" s="65"/>
      <c r="S101" s="65"/>
      <c r="T101" s="65"/>
      <c r="U101" s="65"/>
      <c r="V101" s="65"/>
      <c r="W101" s="65"/>
    </row>
    <row r="102" ht="27" customHeight="true" spans="1:23">
      <c r="A102" s="165" t="str">
        <f t="shared" si="1"/>
        <v>       玉溪市疾病预防控制中心</v>
      </c>
      <c r="B102" s="165" t="s">
        <v>348</v>
      </c>
      <c r="C102" s="165" t="s">
        <v>349</v>
      </c>
      <c r="D102" s="165" t="s">
        <v>136</v>
      </c>
      <c r="E102" s="165" t="s">
        <v>333</v>
      </c>
      <c r="F102" s="165" t="s">
        <v>227</v>
      </c>
      <c r="G102" s="165" t="s">
        <v>228</v>
      </c>
      <c r="H102" s="168">
        <v>5344800</v>
      </c>
      <c r="I102" s="65">
        <v>5344800</v>
      </c>
      <c r="J102" s="65">
        <v>5344800</v>
      </c>
      <c r="K102" s="165"/>
      <c r="L102" s="65"/>
      <c r="M102" s="165"/>
      <c r="N102" s="65"/>
      <c r="O102" s="65"/>
      <c r="P102" s="165"/>
      <c r="Q102" s="65"/>
      <c r="R102" s="65"/>
      <c r="S102" s="65"/>
      <c r="T102" s="65"/>
      <c r="U102" s="65"/>
      <c r="V102" s="65"/>
      <c r="W102" s="65"/>
    </row>
    <row r="103" ht="20.25" customHeight="true" spans="1:23">
      <c r="A103" s="165" t="str">
        <f t="shared" si="1"/>
        <v>       玉溪市疾病预防控制中心</v>
      </c>
      <c r="B103" s="165" t="s">
        <v>350</v>
      </c>
      <c r="C103" s="165" t="s">
        <v>351</v>
      </c>
      <c r="D103" s="165" t="s">
        <v>136</v>
      </c>
      <c r="E103" s="165" t="s">
        <v>333</v>
      </c>
      <c r="F103" s="165" t="s">
        <v>258</v>
      </c>
      <c r="G103" s="165" t="s">
        <v>259</v>
      </c>
      <c r="H103" s="168">
        <v>39000</v>
      </c>
      <c r="I103" s="65">
        <v>39000</v>
      </c>
      <c r="J103" s="65"/>
      <c r="K103" s="165"/>
      <c r="L103" s="65">
        <v>39000</v>
      </c>
      <c r="M103" s="165"/>
      <c r="N103" s="65"/>
      <c r="O103" s="65"/>
      <c r="P103" s="165"/>
      <c r="Q103" s="65"/>
      <c r="R103" s="65"/>
      <c r="S103" s="65"/>
      <c r="T103" s="65"/>
      <c r="U103" s="65"/>
      <c r="V103" s="65"/>
      <c r="W103" s="65"/>
    </row>
    <row r="104" ht="35" customHeight="true" spans="1:23">
      <c r="A104" s="165" t="str">
        <f t="shared" si="1"/>
        <v>       玉溪市疾病预防控制中心</v>
      </c>
      <c r="B104" s="165" t="s">
        <v>352</v>
      </c>
      <c r="C104" s="165" t="s">
        <v>353</v>
      </c>
      <c r="D104" s="165" t="s">
        <v>148</v>
      </c>
      <c r="E104" s="165" t="s">
        <v>241</v>
      </c>
      <c r="F104" s="165" t="s">
        <v>239</v>
      </c>
      <c r="G104" s="165" t="s">
        <v>240</v>
      </c>
      <c r="H104" s="168">
        <v>64000</v>
      </c>
      <c r="I104" s="65">
        <v>64000</v>
      </c>
      <c r="J104" s="65"/>
      <c r="K104" s="165"/>
      <c r="L104" s="65">
        <v>64000</v>
      </c>
      <c r="M104" s="165"/>
      <c r="N104" s="65"/>
      <c r="O104" s="65"/>
      <c r="P104" s="165"/>
      <c r="Q104" s="65"/>
      <c r="R104" s="65"/>
      <c r="S104" s="65"/>
      <c r="T104" s="65"/>
      <c r="U104" s="65"/>
      <c r="V104" s="65"/>
      <c r="W104" s="65"/>
    </row>
    <row r="105" ht="20.25" customHeight="true" spans="1:23">
      <c r="A105" s="165" t="str">
        <f t="shared" si="1"/>
        <v>       玉溪市疾病预防控制中心</v>
      </c>
      <c r="B105" s="165" t="s">
        <v>354</v>
      </c>
      <c r="C105" s="165" t="s">
        <v>193</v>
      </c>
      <c r="D105" s="165" t="s">
        <v>136</v>
      </c>
      <c r="E105" s="165" t="s">
        <v>333</v>
      </c>
      <c r="F105" s="165" t="s">
        <v>290</v>
      </c>
      <c r="G105" s="165" t="s">
        <v>193</v>
      </c>
      <c r="H105" s="168">
        <v>17000</v>
      </c>
      <c r="I105" s="65">
        <v>17000</v>
      </c>
      <c r="J105" s="65"/>
      <c r="K105" s="165"/>
      <c r="L105" s="65">
        <v>17000</v>
      </c>
      <c r="M105" s="165"/>
      <c r="N105" s="65"/>
      <c r="O105" s="65"/>
      <c r="P105" s="165"/>
      <c r="Q105" s="65"/>
      <c r="R105" s="65"/>
      <c r="S105" s="65"/>
      <c r="T105" s="65"/>
      <c r="U105" s="65"/>
      <c r="V105" s="65"/>
      <c r="W105" s="65"/>
    </row>
    <row r="106" ht="20.25" customHeight="true" spans="1:23">
      <c r="A106" s="165" t="str">
        <f t="shared" si="1"/>
        <v>       玉溪市疾病预防控制中心</v>
      </c>
      <c r="B106" s="165" t="s">
        <v>355</v>
      </c>
      <c r="C106" s="165" t="s">
        <v>330</v>
      </c>
      <c r="D106" s="165" t="s">
        <v>136</v>
      </c>
      <c r="E106" s="165" t="s">
        <v>333</v>
      </c>
      <c r="F106" s="165" t="s">
        <v>331</v>
      </c>
      <c r="G106" s="165" t="s">
        <v>330</v>
      </c>
      <c r="H106" s="168">
        <v>183511.44</v>
      </c>
      <c r="I106" s="65">
        <v>183511.44</v>
      </c>
      <c r="J106" s="65"/>
      <c r="K106" s="165"/>
      <c r="L106" s="65">
        <v>183511.44</v>
      </c>
      <c r="M106" s="165"/>
      <c r="N106" s="65"/>
      <c r="O106" s="65"/>
      <c r="P106" s="165"/>
      <c r="Q106" s="65"/>
      <c r="R106" s="65"/>
      <c r="S106" s="65"/>
      <c r="T106" s="65"/>
      <c r="U106" s="65"/>
      <c r="V106" s="65"/>
      <c r="W106" s="65"/>
    </row>
    <row r="107" ht="20.25" customHeight="true" spans="1:23">
      <c r="A107" s="171" t="s">
        <v>69</v>
      </c>
      <c r="B107" s="165"/>
      <c r="C107" s="165"/>
      <c r="D107" s="165"/>
      <c r="E107" s="165"/>
      <c r="F107" s="165"/>
      <c r="G107" s="165"/>
      <c r="H107" s="168">
        <v>42183411.99</v>
      </c>
      <c r="I107" s="65">
        <v>23730411.99</v>
      </c>
      <c r="J107" s="65">
        <v>14639261.57</v>
      </c>
      <c r="K107" s="165"/>
      <c r="L107" s="65">
        <v>9091150.42</v>
      </c>
      <c r="M107" s="165"/>
      <c r="N107" s="65"/>
      <c r="O107" s="65"/>
      <c r="P107" s="165"/>
      <c r="Q107" s="65"/>
      <c r="R107" s="65">
        <v>18453000</v>
      </c>
      <c r="S107" s="65">
        <v>18453000</v>
      </c>
      <c r="T107" s="65"/>
      <c r="U107" s="65"/>
      <c r="V107" s="65"/>
      <c r="W107" s="65"/>
    </row>
    <row r="108" ht="20.25" customHeight="true" spans="1:23">
      <c r="A108" s="165" t="str">
        <f t="shared" ref="A108:A142" si="2">"       "&amp;"玉溪市妇幼保健院"</f>
        <v>       玉溪市妇幼保健院</v>
      </c>
      <c r="B108" s="165" t="s">
        <v>356</v>
      </c>
      <c r="C108" s="165" t="s">
        <v>225</v>
      </c>
      <c r="D108" s="165" t="s">
        <v>138</v>
      </c>
      <c r="E108" s="165" t="s">
        <v>357</v>
      </c>
      <c r="F108" s="165" t="s">
        <v>219</v>
      </c>
      <c r="G108" s="165" t="s">
        <v>220</v>
      </c>
      <c r="H108" s="168">
        <v>4750428</v>
      </c>
      <c r="I108" s="65">
        <v>4750428</v>
      </c>
      <c r="J108" s="65">
        <v>2078312.25</v>
      </c>
      <c r="K108" s="165"/>
      <c r="L108" s="65">
        <v>2672115.75</v>
      </c>
      <c r="M108" s="165"/>
      <c r="N108" s="65"/>
      <c r="O108" s="65"/>
      <c r="P108" s="165"/>
      <c r="Q108" s="65"/>
      <c r="R108" s="65"/>
      <c r="S108" s="65"/>
      <c r="T108" s="65"/>
      <c r="U108" s="65"/>
      <c r="V108" s="65"/>
      <c r="W108" s="65"/>
    </row>
    <row r="109" ht="20.25" customHeight="true" spans="1:23">
      <c r="A109" s="165" t="str">
        <f t="shared" si="2"/>
        <v>       玉溪市妇幼保健院</v>
      </c>
      <c r="B109" s="165" t="s">
        <v>356</v>
      </c>
      <c r="C109" s="165" t="s">
        <v>225</v>
      </c>
      <c r="D109" s="165" t="s">
        <v>138</v>
      </c>
      <c r="E109" s="165" t="s">
        <v>357</v>
      </c>
      <c r="F109" s="165" t="s">
        <v>221</v>
      </c>
      <c r="G109" s="165" t="s">
        <v>222</v>
      </c>
      <c r="H109" s="168">
        <v>176340</v>
      </c>
      <c r="I109" s="65">
        <v>176340</v>
      </c>
      <c r="J109" s="65">
        <v>77148.75</v>
      </c>
      <c r="K109" s="165"/>
      <c r="L109" s="65">
        <v>99191.25</v>
      </c>
      <c r="M109" s="165"/>
      <c r="N109" s="65"/>
      <c r="O109" s="65"/>
      <c r="P109" s="165"/>
      <c r="Q109" s="65"/>
      <c r="R109" s="65"/>
      <c r="S109" s="65"/>
      <c r="T109" s="65"/>
      <c r="U109" s="65"/>
      <c r="V109" s="65"/>
      <c r="W109" s="65"/>
    </row>
    <row r="110" ht="20.25" customHeight="true" spans="1:23">
      <c r="A110" s="165" t="str">
        <f t="shared" si="2"/>
        <v>       玉溪市妇幼保健院</v>
      </c>
      <c r="B110" s="165" t="s">
        <v>356</v>
      </c>
      <c r="C110" s="165" t="s">
        <v>225</v>
      </c>
      <c r="D110" s="165" t="s">
        <v>138</v>
      </c>
      <c r="E110" s="165" t="s">
        <v>357</v>
      </c>
      <c r="F110" s="165" t="s">
        <v>227</v>
      </c>
      <c r="G110" s="165" t="s">
        <v>228</v>
      </c>
      <c r="H110" s="168">
        <v>1380600</v>
      </c>
      <c r="I110" s="65">
        <v>1380600</v>
      </c>
      <c r="J110" s="65">
        <v>604012.5</v>
      </c>
      <c r="K110" s="165"/>
      <c r="L110" s="65">
        <v>776587.5</v>
      </c>
      <c r="M110" s="165"/>
      <c r="N110" s="65"/>
      <c r="O110" s="65"/>
      <c r="P110" s="165"/>
      <c r="Q110" s="65"/>
      <c r="R110" s="65"/>
      <c r="S110" s="65"/>
      <c r="T110" s="65"/>
      <c r="U110" s="65"/>
      <c r="V110" s="65"/>
      <c r="W110" s="65"/>
    </row>
    <row r="111" ht="20.25" customHeight="true" spans="1:23">
      <c r="A111" s="165" t="str">
        <f t="shared" si="2"/>
        <v>       玉溪市妇幼保健院</v>
      </c>
      <c r="B111" s="165" t="s">
        <v>356</v>
      </c>
      <c r="C111" s="165" t="s">
        <v>225</v>
      </c>
      <c r="D111" s="165" t="s">
        <v>161</v>
      </c>
      <c r="E111" s="165" t="s">
        <v>223</v>
      </c>
      <c r="F111" s="165" t="s">
        <v>221</v>
      </c>
      <c r="G111" s="165" t="s">
        <v>222</v>
      </c>
      <c r="H111" s="168">
        <v>123264</v>
      </c>
      <c r="I111" s="65">
        <v>123264</v>
      </c>
      <c r="J111" s="65"/>
      <c r="K111" s="165"/>
      <c r="L111" s="65">
        <v>123264</v>
      </c>
      <c r="M111" s="165"/>
      <c r="N111" s="65"/>
      <c r="O111" s="65"/>
      <c r="P111" s="165"/>
      <c r="Q111" s="65"/>
      <c r="R111" s="65"/>
      <c r="S111" s="65"/>
      <c r="T111" s="65"/>
      <c r="U111" s="65"/>
      <c r="V111" s="65"/>
      <c r="W111" s="65"/>
    </row>
    <row r="112" ht="33" customHeight="true" spans="1:23">
      <c r="A112" s="165" t="str">
        <f t="shared" si="2"/>
        <v>       玉溪市妇幼保健院</v>
      </c>
      <c r="B112" s="165" t="s">
        <v>358</v>
      </c>
      <c r="C112" s="165" t="s">
        <v>230</v>
      </c>
      <c r="D112" s="165" t="s">
        <v>115</v>
      </c>
      <c r="E112" s="165" t="s">
        <v>231</v>
      </c>
      <c r="F112" s="165" t="s">
        <v>232</v>
      </c>
      <c r="G112" s="165" t="s">
        <v>233</v>
      </c>
      <c r="H112" s="168">
        <v>1508753.28</v>
      </c>
      <c r="I112" s="65">
        <v>1508753.28</v>
      </c>
      <c r="J112" s="65">
        <v>377188.32</v>
      </c>
      <c r="K112" s="165"/>
      <c r="L112" s="65">
        <v>1131564.96</v>
      </c>
      <c r="M112" s="165"/>
      <c r="N112" s="65"/>
      <c r="O112" s="65"/>
      <c r="P112" s="165"/>
      <c r="Q112" s="65"/>
      <c r="R112" s="65"/>
      <c r="S112" s="65"/>
      <c r="T112" s="65"/>
      <c r="U112" s="65"/>
      <c r="V112" s="65"/>
      <c r="W112" s="65"/>
    </row>
    <row r="113" ht="20.25" customHeight="true" spans="1:23">
      <c r="A113" s="165" t="str">
        <f t="shared" si="2"/>
        <v>       玉溪市妇幼保健院</v>
      </c>
      <c r="B113" s="165" t="s">
        <v>358</v>
      </c>
      <c r="C113" s="165" t="s">
        <v>230</v>
      </c>
      <c r="D113" s="165" t="s">
        <v>138</v>
      </c>
      <c r="E113" s="165" t="s">
        <v>357</v>
      </c>
      <c r="F113" s="165" t="s">
        <v>234</v>
      </c>
      <c r="G113" s="165" t="s">
        <v>235</v>
      </c>
      <c r="H113" s="168">
        <v>68779.04</v>
      </c>
      <c r="I113" s="65">
        <v>68779.04</v>
      </c>
      <c r="J113" s="65">
        <v>17194.76</v>
      </c>
      <c r="K113" s="165"/>
      <c r="L113" s="65">
        <v>51584.28</v>
      </c>
      <c r="M113" s="165"/>
      <c r="N113" s="65"/>
      <c r="O113" s="65"/>
      <c r="P113" s="165"/>
      <c r="Q113" s="65"/>
      <c r="R113" s="65"/>
      <c r="S113" s="65"/>
      <c r="T113" s="65"/>
      <c r="U113" s="65"/>
      <c r="V113" s="65"/>
      <c r="W113" s="65"/>
    </row>
    <row r="114" ht="20.25" customHeight="true" spans="1:23">
      <c r="A114" s="165" t="str">
        <f t="shared" si="2"/>
        <v>       玉溪市妇幼保健院</v>
      </c>
      <c r="B114" s="165" t="s">
        <v>358</v>
      </c>
      <c r="C114" s="165" t="s">
        <v>230</v>
      </c>
      <c r="D114" s="165" t="s">
        <v>148</v>
      </c>
      <c r="E114" s="165" t="s">
        <v>241</v>
      </c>
      <c r="F114" s="165" t="s">
        <v>237</v>
      </c>
      <c r="G114" s="165" t="s">
        <v>238</v>
      </c>
      <c r="H114" s="168">
        <v>782665.76</v>
      </c>
      <c r="I114" s="65">
        <v>782665.76</v>
      </c>
      <c r="J114" s="65">
        <v>195666.44</v>
      </c>
      <c r="K114" s="165"/>
      <c r="L114" s="65">
        <v>586999.32</v>
      </c>
      <c r="M114" s="165"/>
      <c r="N114" s="65"/>
      <c r="O114" s="65"/>
      <c r="P114" s="165"/>
      <c r="Q114" s="65"/>
      <c r="R114" s="65"/>
      <c r="S114" s="65"/>
      <c r="T114" s="65"/>
      <c r="U114" s="65"/>
      <c r="V114" s="65"/>
      <c r="W114" s="65"/>
    </row>
    <row r="115" ht="20.25" customHeight="true" spans="1:23">
      <c r="A115" s="165" t="str">
        <f t="shared" si="2"/>
        <v>       玉溪市妇幼保健院</v>
      </c>
      <c r="B115" s="165" t="s">
        <v>358</v>
      </c>
      <c r="C115" s="165" t="s">
        <v>230</v>
      </c>
      <c r="D115" s="165" t="s">
        <v>149</v>
      </c>
      <c r="E115" s="165" t="s">
        <v>242</v>
      </c>
      <c r="F115" s="165" t="s">
        <v>243</v>
      </c>
      <c r="G115" s="165" t="s">
        <v>244</v>
      </c>
      <c r="H115" s="168">
        <v>773885.4</v>
      </c>
      <c r="I115" s="65">
        <v>773885.4</v>
      </c>
      <c r="J115" s="65">
        <v>193471.35</v>
      </c>
      <c r="K115" s="165"/>
      <c r="L115" s="65">
        <v>580414.05</v>
      </c>
      <c r="M115" s="165"/>
      <c r="N115" s="65"/>
      <c r="O115" s="65"/>
      <c r="P115" s="165"/>
      <c r="Q115" s="65"/>
      <c r="R115" s="65"/>
      <c r="S115" s="65"/>
      <c r="T115" s="65"/>
      <c r="U115" s="65"/>
      <c r="V115" s="65"/>
      <c r="W115" s="65"/>
    </row>
    <row r="116" ht="20.25" customHeight="true" spans="1:23">
      <c r="A116" s="165" t="str">
        <f t="shared" si="2"/>
        <v>       玉溪市妇幼保健院</v>
      </c>
      <c r="B116" s="165" t="s">
        <v>358</v>
      </c>
      <c r="C116" s="165" t="s">
        <v>230</v>
      </c>
      <c r="D116" s="165" t="s">
        <v>150</v>
      </c>
      <c r="E116" s="165" t="s">
        <v>245</v>
      </c>
      <c r="F116" s="165" t="s">
        <v>234</v>
      </c>
      <c r="G116" s="165" t="s">
        <v>235</v>
      </c>
      <c r="H116" s="168">
        <v>103677.8</v>
      </c>
      <c r="I116" s="65">
        <v>103677.8</v>
      </c>
      <c r="J116" s="65">
        <v>74681.45</v>
      </c>
      <c r="K116" s="165"/>
      <c r="L116" s="65">
        <v>28996.35</v>
      </c>
      <c r="M116" s="165"/>
      <c r="N116" s="65"/>
      <c r="O116" s="65"/>
      <c r="P116" s="165"/>
      <c r="Q116" s="65"/>
      <c r="R116" s="65"/>
      <c r="S116" s="65"/>
      <c r="T116" s="65"/>
      <c r="U116" s="65"/>
      <c r="V116" s="65"/>
      <c r="W116" s="65"/>
    </row>
    <row r="117" ht="20.25" customHeight="true" spans="1:23">
      <c r="A117" s="165" t="str">
        <f t="shared" si="2"/>
        <v>       玉溪市妇幼保健院</v>
      </c>
      <c r="B117" s="165" t="s">
        <v>359</v>
      </c>
      <c r="C117" s="165" t="s">
        <v>247</v>
      </c>
      <c r="D117" s="165" t="s">
        <v>160</v>
      </c>
      <c r="E117" s="165" t="s">
        <v>247</v>
      </c>
      <c r="F117" s="165" t="s">
        <v>248</v>
      </c>
      <c r="G117" s="165" t="s">
        <v>247</v>
      </c>
      <c r="H117" s="168">
        <v>1696464</v>
      </c>
      <c r="I117" s="65">
        <v>1696464</v>
      </c>
      <c r="J117" s="65">
        <v>424116</v>
      </c>
      <c r="K117" s="165"/>
      <c r="L117" s="65">
        <v>1272348</v>
      </c>
      <c r="M117" s="165"/>
      <c r="N117" s="65"/>
      <c r="O117" s="65"/>
      <c r="P117" s="165"/>
      <c r="Q117" s="65"/>
      <c r="R117" s="65"/>
      <c r="S117" s="65"/>
      <c r="T117" s="65"/>
      <c r="U117" s="65"/>
      <c r="V117" s="65"/>
      <c r="W117" s="65"/>
    </row>
    <row r="118" ht="20.25" customHeight="true" spans="1:23">
      <c r="A118" s="165" t="str">
        <f t="shared" si="2"/>
        <v>       玉溪市妇幼保健院</v>
      </c>
      <c r="B118" s="165" t="s">
        <v>360</v>
      </c>
      <c r="C118" s="165" t="s">
        <v>250</v>
      </c>
      <c r="D118" s="165" t="s">
        <v>114</v>
      </c>
      <c r="E118" s="165" t="s">
        <v>337</v>
      </c>
      <c r="F118" s="165" t="s">
        <v>254</v>
      </c>
      <c r="G118" s="165" t="s">
        <v>255</v>
      </c>
      <c r="H118" s="168">
        <v>2217600</v>
      </c>
      <c r="I118" s="65">
        <v>2217600</v>
      </c>
      <c r="J118" s="65">
        <v>2217600</v>
      </c>
      <c r="K118" s="165"/>
      <c r="L118" s="65"/>
      <c r="M118" s="165"/>
      <c r="N118" s="65"/>
      <c r="O118" s="65"/>
      <c r="P118" s="165"/>
      <c r="Q118" s="65"/>
      <c r="R118" s="65"/>
      <c r="S118" s="65"/>
      <c r="T118" s="65"/>
      <c r="U118" s="65"/>
      <c r="V118" s="65"/>
      <c r="W118" s="65"/>
    </row>
    <row r="119" ht="20.25" customHeight="true" spans="1:23">
      <c r="A119" s="165" t="str">
        <f t="shared" si="2"/>
        <v>       玉溪市妇幼保健院</v>
      </c>
      <c r="B119" s="165" t="s">
        <v>361</v>
      </c>
      <c r="C119" s="165" t="s">
        <v>261</v>
      </c>
      <c r="D119" s="165" t="s">
        <v>138</v>
      </c>
      <c r="E119" s="165" t="s">
        <v>357</v>
      </c>
      <c r="F119" s="165" t="s">
        <v>262</v>
      </c>
      <c r="G119" s="165" t="s">
        <v>263</v>
      </c>
      <c r="H119" s="168">
        <v>65500</v>
      </c>
      <c r="I119" s="65">
        <v>65500</v>
      </c>
      <c r="J119" s="65"/>
      <c r="K119" s="165"/>
      <c r="L119" s="65">
        <v>65500</v>
      </c>
      <c r="M119" s="165"/>
      <c r="N119" s="65"/>
      <c r="O119" s="65"/>
      <c r="P119" s="165"/>
      <c r="Q119" s="65"/>
      <c r="R119" s="65"/>
      <c r="S119" s="65"/>
      <c r="T119" s="65"/>
      <c r="U119" s="65"/>
      <c r="V119" s="65"/>
      <c r="W119" s="65"/>
    </row>
    <row r="120" ht="20.25" customHeight="true" spans="1:23">
      <c r="A120" s="165" t="str">
        <f t="shared" si="2"/>
        <v>       玉溪市妇幼保健院</v>
      </c>
      <c r="B120" s="165" t="s">
        <v>362</v>
      </c>
      <c r="C120" s="165" t="s">
        <v>269</v>
      </c>
      <c r="D120" s="165" t="s">
        <v>138</v>
      </c>
      <c r="E120" s="165" t="s">
        <v>357</v>
      </c>
      <c r="F120" s="165" t="s">
        <v>270</v>
      </c>
      <c r="G120" s="165" t="s">
        <v>269</v>
      </c>
      <c r="H120" s="168">
        <v>194561.04</v>
      </c>
      <c r="I120" s="65">
        <v>194561.04</v>
      </c>
      <c r="J120" s="65"/>
      <c r="K120" s="165"/>
      <c r="L120" s="65">
        <v>194561.04</v>
      </c>
      <c r="M120" s="165"/>
      <c r="N120" s="65"/>
      <c r="O120" s="65"/>
      <c r="P120" s="165"/>
      <c r="Q120" s="65"/>
      <c r="R120" s="65"/>
      <c r="S120" s="65"/>
      <c r="T120" s="65"/>
      <c r="U120" s="65"/>
      <c r="V120" s="65"/>
      <c r="W120" s="65"/>
    </row>
    <row r="121" ht="20.25" customHeight="true" spans="1:23">
      <c r="A121" s="165" t="str">
        <f t="shared" si="2"/>
        <v>       玉溪市妇幼保健院</v>
      </c>
      <c r="B121" s="165" t="s">
        <v>363</v>
      </c>
      <c r="C121" s="165" t="s">
        <v>272</v>
      </c>
      <c r="D121" s="165" t="s">
        <v>114</v>
      </c>
      <c r="E121" s="165" t="s">
        <v>337</v>
      </c>
      <c r="F121" s="165" t="s">
        <v>273</v>
      </c>
      <c r="G121" s="165" t="s">
        <v>274</v>
      </c>
      <c r="H121" s="168">
        <v>50400</v>
      </c>
      <c r="I121" s="65">
        <v>50400</v>
      </c>
      <c r="J121" s="65">
        <v>50400</v>
      </c>
      <c r="K121" s="165"/>
      <c r="L121" s="65"/>
      <c r="M121" s="165"/>
      <c r="N121" s="65"/>
      <c r="O121" s="65"/>
      <c r="P121" s="165"/>
      <c r="Q121" s="65"/>
      <c r="R121" s="65"/>
      <c r="S121" s="65"/>
      <c r="T121" s="65"/>
      <c r="U121" s="65"/>
      <c r="V121" s="65"/>
      <c r="W121" s="65"/>
    </row>
    <row r="122" ht="20.25" customHeight="true" spans="1:23">
      <c r="A122" s="165" t="str">
        <f t="shared" si="2"/>
        <v>       玉溪市妇幼保健院</v>
      </c>
      <c r="B122" s="165" t="s">
        <v>363</v>
      </c>
      <c r="C122" s="165" t="s">
        <v>272</v>
      </c>
      <c r="D122" s="165" t="s">
        <v>138</v>
      </c>
      <c r="E122" s="165" t="s">
        <v>357</v>
      </c>
      <c r="F122" s="165" t="s">
        <v>275</v>
      </c>
      <c r="G122" s="165" t="s">
        <v>276</v>
      </c>
      <c r="H122" s="168">
        <v>53500</v>
      </c>
      <c r="I122" s="65">
        <v>53500</v>
      </c>
      <c r="J122" s="65">
        <v>9619.75</v>
      </c>
      <c r="K122" s="165"/>
      <c r="L122" s="65">
        <v>43880.25</v>
      </c>
      <c r="M122" s="165"/>
      <c r="N122" s="65"/>
      <c r="O122" s="65"/>
      <c r="P122" s="165"/>
      <c r="Q122" s="65"/>
      <c r="R122" s="65"/>
      <c r="S122" s="65"/>
      <c r="T122" s="65"/>
      <c r="U122" s="65"/>
      <c r="V122" s="65"/>
      <c r="W122" s="65"/>
    </row>
    <row r="123" ht="20.25" customHeight="true" spans="1:23">
      <c r="A123" s="165" t="str">
        <f t="shared" si="2"/>
        <v>       玉溪市妇幼保健院</v>
      </c>
      <c r="B123" s="165" t="s">
        <v>363</v>
      </c>
      <c r="C123" s="165" t="s">
        <v>272</v>
      </c>
      <c r="D123" s="165" t="s">
        <v>138</v>
      </c>
      <c r="E123" s="165" t="s">
        <v>357</v>
      </c>
      <c r="F123" s="165" t="s">
        <v>308</v>
      </c>
      <c r="G123" s="165" t="s">
        <v>309</v>
      </c>
      <c r="H123" s="168">
        <v>100000</v>
      </c>
      <c r="I123" s="65">
        <v>100000</v>
      </c>
      <c r="J123" s="65">
        <v>25000</v>
      </c>
      <c r="K123" s="165"/>
      <c r="L123" s="65">
        <v>75000</v>
      </c>
      <c r="M123" s="165"/>
      <c r="N123" s="65"/>
      <c r="O123" s="65"/>
      <c r="P123" s="165"/>
      <c r="Q123" s="65"/>
      <c r="R123" s="65"/>
      <c r="S123" s="65"/>
      <c r="T123" s="65"/>
      <c r="U123" s="65"/>
      <c r="V123" s="65"/>
      <c r="W123" s="65"/>
    </row>
    <row r="124" ht="20.25" customHeight="true" spans="1:23">
      <c r="A124" s="165" t="str">
        <f t="shared" si="2"/>
        <v>       玉溪市妇幼保健院</v>
      </c>
      <c r="B124" s="165" t="s">
        <v>363</v>
      </c>
      <c r="C124" s="165" t="s">
        <v>272</v>
      </c>
      <c r="D124" s="165" t="s">
        <v>138</v>
      </c>
      <c r="E124" s="165" t="s">
        <v>357</v>
      </c>
      <c r="F124" s="165" t="s">
        <v>310</v>
      </c>
      <c r="G124" s="165" t="s">
        <v>311</v>
      </c>
      <c r="H124" s="168">
        <v>240000</v>
      </c>
      <c r="I124" s="65">
        <v>240000</v>
      </c>
      <c r="J124" s="65">
        <v>60000</v>
      </c>
      <c r="K124" s="165"/>
      <c r="L124" s="65">
        <v>180000</v>
      </c>
      <c r="M124" s="165"/>
      <c r="N124" s="65"/>
      <c r="O124" s="65"/>
      <c r="P124" s="165"/>
      <c r="Q124" s="65"/>
      <c r="R124" s="65"/>
      <c r="S124" s="65"/>
      <c r="T124" s="65"/>
      <c r="U124" s="65"/>
      <c r="V124" s="65"/>
      <c r="W124" s="65"/>
    </row>
    <row r="125" ht="20.25" customHeight="true" spans="1:23">
      <c r="A125" s="165" t="str">
        <f t="shared" si="2"/>
        <v>       玉溪市妇幼保健院</v>
      </c>
      <c r="B125" s="165" t="s">
        <v>363</v>
      </c>
      <c r="C125" s="165" t="s">
        <v>272</v>
      </c>
      <c r="D125" s="165" t="s">
        <v>138</v>
      </c>
      <c r="E125" s="165" t="s">
        <v>357</v>
      </c>
      <c r="F125" s="165" t="s">
        <v>312</v>
      </c>
      <c r="G125" s="165" t="s">
        <v>313</v>
      </c>
      <c r="H125" s="168">
        <v>80000</v>
      </c>
      <c r="I125" s="65">
        <v>80000</v>
      </c>
      <c r="J125" s="65">
        <v>20000</v>
      </c>
      <c r="K125" s="165"/>
      <c r="L125" s="65">
        <v>60000</v>
      </c>
      <c r="M125" s="165"/>
      <c r="N125" s="65"/>
      <c r="O125" s="65"/>
      <c r="P125" s="165"/>
      <c r="Q125" s="65"/>
      <c r="R125" s="65"/>
      <c r="S125" s="65"/>
      <c r="T125" s="65"/>
      <c r="U125" s="65"/>
      <c r="V125" s="65"/>
      <c r="W125" s="65"/>
    </row>
    <row r="126" ht="20.25" customHeight="true" spans="1:23">
      <c r="A126" s="165" t="str">
        <f t="shared" si="2"/>
        <v>       玉溪市妇幼保健院</v>
      </c>
      <c r="B126" s="165" t="s">
        <v>363</v>
      </c>
      <c r="C126" s="165" t="s">
        <v>272</v>
      </c>
      <c r="D126" s="165" t="s">
        <v>138</v>
      </c>
      <c r="E126" s="165" t="s">
        <v>357</v>
      </c>
      <c r="F126" s="165" t="s">
        <v>277</v>
      </c>
      <c r="G126" s="165" t="s">
        <v>278</v>
      </c>
      <c r="H126" s="168">
        <v>310000</v>
      </c>
      <c r="I126" s="65">
        <v>310000</v>
      </c>
      <c r="J126" s="65">
        <v>77500</v>
      </c>
      <c r="K126" s="165"/>
      <c r="L126" s="65">
        <v>232500</v>
      </c>
      <c r="M126" s="165"/>
      <c r="N126" s="65"/>
      <c r="O126" s="65"/>
      <c r="P126" s="165"/>
      <c r="Q126" s="65"/>
      <c r="R126" s="65"/>
      <c r="S126" s="65"/>
      <c r="T126" s="65"/>
      <c r="U126" s="65"/>
      <c r="V126" s="65"/>
      <c r="W126" s="65"/>
    </row>
    <row r="127" ht="20.25" customHeight="true" spans="1:23">
      <c r="A127" s="165" t="str">
        <f t="shared" si="2"/>
        <v>       玉溪市妇幼保健院</v>
      </c>
      <c r="B127" s="165" t="s">
        <v>363</v>
      </c>
      <c r="C127" s="165" t="s">
        <v>272</v>
      </c>
      <c r="D127" s="165" t="s">
        <v>138</v>
      </c>
      <c r="E127" s="165" t="s">
        <v>357</v>
      </c>
      <c r="F127" s="165" t="s">
        <v>285</v>
      </c>
      <c r="G127" s="165" t="s">
        <v>286</v>
      </c>
      <c r="H127" s="168">
        <v>105000</v>
      </c>
      <c r="I127" s="65">
        <v>105000</v>
      </c>
      <c r="J127" s="65">
        <v>26250</v>
      </c>
      <c r="K127" s="165"/>
      <c r="L127" s="65">
        <v>78750</v>
      </c>
      <c r="M127" s="165"/>
      <c r="N127" s="65"/>
      <c r="O127" s="65"/>
      <c r="P127" s="165"/>
      <c r="Q127" s="65"/>
      <c r="R127" s="65"/>
      <c r="S127" s="65"/>
      <c r="T127" s="65"/>
      <c r="U127" s="65"/>
      <c r="V127" s="65"/>
      <c r="W127" s="65"/>
    </row>
    <row r="128" ht="20.25" customHeight="true" spans="1:23">
      <c r="A128" s="165" t="str">
        <f t="shared" si="2"/>
        <v>       玉溪市妇幼保健院</v>
      </c>
      <c r="B128" s="165" t="s">
        <v>363</v>
      </c>
      <c r="C128" s="165" t="s">
        <v>272</v>
      </c>
      <c r="D128" s="165" t="s">
        <v>138</v>
      </c>
      <c r="E128" s="165" t="s">
        <v>357</v>
      </c>
      <c r="F128" s="165" t="s">
        <v>266</v>
      </c>
      <c r="G128" s="165" t="s">
        <v>267</v>
      </c>
      <c r="H128" s="168">
        <v>20000</v>
      </c>
      <c r="I128" s="65">
        <v>20000</v>
      </c>
      <c r="J128" s="65">
        <v>5000</v>
      </c>
      <c r="K128" s="165"/>
      <c r="L128" s="65">
        <v>15000</v>
      </c>
      <c r="M128" s="165"/>
      <c r="N128" s="65"/>
      <c r="O128" s="65"/>
      <c r="P128" s="165"/>
      <c r="Q128" s="65"/>
      <c r="R128" s="65"/>
      <c r="S128" s="65"/>
      <c r="T128" s="65"/>
      <c r="U128" s="65"/>
      <c r="V128" s="65"/>
      <c r="W128" s="65"/>
    </row>
    <row r="129" ht="20.25" customHeight="true" spans="1:23">
      <c r="A129" s="165" t="str">
        <f t="shared" si="2"/>
        <v>       玉溪市妇幼保健院</v>
      </c>
      <c r="B129" s="165" t="s">
        <v>363</v>
      </c>
      <c r="C129" s="165" t="s">
        <v>272</v>
      </c>
      <c r="D129" s="165" t="s">
        <v>138</v>
      </c>
      <c r="E129" s="165" t="s">
        <v>357</v>
      </c>
      <c r="F129" s="165" t="s">
        <v>273</v>
      </c>
      <c r="G129" s="165" t="s">
        <v>274</v>
      </c>
      <c r="H129" s="168">
        <v>226000</v>
      </c>
      <c r="I129" s="65">
        <v>226000</v>
      </c>
      <c r="J129" s="65">
        <v>56500</v>
      </c>
      <c r="K129" s="165"/>
      <c r="L129" s="65">
        <v>169500</v>
      </c>
      <c r="M129" s="165"/>
      <c r="N129" s="65"/>
      <c r="O129" s="65"/>
      <c r="P129" s="165"/>
      <c r="Q129" s="65"/>
      <c r="R129" s="65"/>
      <c r="S129" s="65"/>
      <c r="T129" s="65"/>
      <c r="U129" s="65"/>
      <c r="V129" s="65"/>
      <c r="W129" s="65"/>
    </row>
    <row r="130" ht="45" customHeight="true" spans="1:23">
      <c r="A130" s="165" t="str">
        <f t="shared" si="2"/>
        <v>       玉溪市妇幼保健院</v>
      </c>
      <c r="B130" s="165" t="s">
        <v>364</v>
      </c>
      <c r="C130" s="165" t="s">
        <v>365</v>
      </c>
      <c r="D130" s="165" t="s">
        <v>138</v>
      </c>
      <c r="E130" s="165" t="s">
        <v>357</v>
      </c>
      <c r="F130" s="165" t="s">
        <v>227</v>
      </c>
      <c r="G130" s="165" t="s">
        <v>228</v>
      </c>
      <c r="H130" s="168">
        <v>5500000</v>
      </c>
      <c r="I130" s="65"/>
      <c r="J130" s="65"/>
      <c r="K130" s="165"/>
      <c r="L130" s="65"/>
      <c r="M130" s="165"/>
      <c r="N130" s="65"/>
      <c r="O130" s="65"/>
      <c r="P130" s="165"/>
      <c r="Q130" s="65"/>
      <c r="R130" s="65">
        <v>5500000</v>
      </c>
      <c r="S130" s="65">
        <v>5500000</v>
      </c>
      <c r="T130" s="65"/>
      <c r="U130" s="65"/>
      <c r="V130" s="65"/>
      <c r="W130" s="65"/>
    </row>
    <row r="131" ht="20.25" customHeight="true" spans="1:23">
      <c r="A131" s="165" t="str">
        <f t="shared" si="2"/>
        <v>       玉溪市妇幼保健院</v>
      </c>
      <c r="B131" s="165" t="s">
        <v>366</v>
      </c>
      <c r="C131" s="165" t="s">
        <v>193</v>
      </c>
      <c r="D131" s="165" t="s">
        <v>138</v>
      </c>
      <c r="E131" s="165" t="s">
        <v>357</v>
      </c>
      <c r="F131" s="165" t="s">
        <v>290</v>
      </c>
      <c r="G131" s="165" t="s">
        <v>193</v>
      </c>
      <c r="H131" s="168">
        <v>30000</v>
      </c>
      <c r="I131" s="65">
        <v>30000</v>
      </c>
      <c r="J131" s="65"/>
      <c r="K131" s="165"/>
      <c r="L131" s="65">
        <v>30000</v>
      </c>
      <c r="M131" s="165"/>
      <c r="N131" s="65"/>
      <c r="O131" s="65"/>
      <c r="P131" s="165"/>
      <c r="Q131" s="65"/>
      <c r="R131" s="65"/>
      <c r="S131" s="65"/>
      <c r="T131" s="65"/>
      <c r="U131" s="65"/>
      <c r="V131" s="65"/>
      <c r="W131" s="65"/>
    </row>
    <row r="132" ht="20.25" customHeight="true" spans="1:23">
      <c r="A132" s="165" t="str">
        <f t="shared" si="2"/>
        <v>       玉溪市妇幼保健院</v>
      </c>
      <c r="B132" s="165" t="s">
        <v>367</v>
      </c>
      <c r="C132" s="165" t="s">
        <v>344</v>
      </c>
      <c r="D132" s="165" t="s">
        <v>138</v>
      </c>
      <c r="E132" s="165" t="s">
        <v>357</v>
      </c>
      <c r="F132" s="165" t="s">
        <v>234</v>
      </c>
      <c r="G132" s="165" t="s">
        <v>235</v>
      </c>
      <c r="H132" s="168">
        <v>43000</v>
      </c>
      <c r="I132" s="65">
        <v>43000</v>
      </c>
      <c r="J132" s="65"/>
      <c r="K132" s="165"/>
      <c r="L132" s="65">
        <v>43000</v>
      </c>
      <c r="M132" s="165"/>
      <c r="N132" s="65"/>
      <c r="O132" s="65"/>
      <c r="P132" s="165"/>
      <c r="Q132" s="65"/>
      <c r="R132" s="65"/>
      <c r="S132" s="65"/>
      <c r="T132" s="65"/>
      <c r="U132" s="65"/>
      <c r="V132" s="65"/>
      <c r="W132" s="65"/>
    </row>
    <row r="133" ht="32" customHeight="true" spans="1:23">
      <c r="A133" s="165" t="str">
        <f t="shared" si="2"/>
        <v>       玉溪市妇幼保健院</v>
      </c>
      <c r="B133" s="165" t="s">
        <v>368</v>
      </c>
      <c r="C133" s="165" t="s">
        <v>369</v>
      </c>
      <c r="D133" s="165" t="s">
        <v>138</v>
      </c>
      <c r="E133" s="165" t="s">
        <v>357</v>
      </c>
      <c r="F133" s="165" t="s">
        <v>295</v>
      </c>
      <c r="G133" s="165" t="s">
        <v>257</v>
      </c>
      <c r="H133" s="168">
        <v>9933000</v>
      </c>
      <c r="I133" s="65"/>
      <c r="J133" s="65"/>
      <c r="K133" s="165"/>
      <c r="L133" s="65"/>
      <c r="M133" s="165"/>
      <c r="N133" s="65"/>
      <c r="O133" s="65"/>
      <c r="P133" s="165"/>
      <c r="Q133" s="65"/>
      <c r="R133" s="65">
        <v>9933000</v>
      </c>
      <c r="S133" s="65">
        <v>9933000</v>
      </c>
      <c r="T133" s="65"/>
      <c r="U133" s="65"/>
      <c r="V133" s="65"/>
      <c r="W133" s="65"/>
    </row>
    <row r="134" ht="32" customHeight="true" spans="1:23">
      <c r="A134" s="165" t="str">
        <f t="shared" si="2"/>
        <v>       玉溪市妇幼保健院</v>
      </c>
      <c r="B134" s="165" t="s">
        <v>370</v>
      </c>
      <c r="C134" s="165" t="s">
        <v>371</v>
      </c>
      <c r="D134" s="165" t="s">
        <v>138</v>
      </c>
      <c r="E134" s="165" t="s">
        <v>357</v>
      </c>
      <c r="F134" s="165" t="s">
        <v>227</v>
      </c>
      <c r="G134" s="165" t="s">
        <v>228</v>
      </c>
      <c r="H134" s="168">
        <v>8049600</v>
      </c>
      <c r="I134" s="65">
        <v>8049600</v>
      </c>
      <c r="J134" s="65">
        <v>8049600</v>
      </c>
      <c r="K134" s="165"/>
      <c r="L134" s="65"/>
      <c r="M134" s="165"/>
      <c r="N134" s="65"/>
      <c r="O134" s="65"/>
      <c r="P134" s="165"/>
      <c r="Q134" s="65"/>
      <c r="R134" s="65"/>
      <c r="S134" s="65"/>
      <c r="T134" s="65"/>
      <c r="U134" s="65"/>
      <c r="V134" s="65"/>
      <c r="W134" s="65"/>
    </row>
    <row r="135" ht="20.25" customHeight="true" spans="1:23">
      <c r="A135" s="165" t="str">
        <f t="shared" si="2"/>
        <v>       玉溪市妇幼保健院</v>
      </c>
      <c r="B135" s="165" t="s">
        <v>372</v>
      </c>
      <c r="C135" s="165" t="s">
        <v>297</v>
      </c>
      <c r="D135" s="165" t="s">
        <v>116</v>
      </c>
      <c r="E135" s="165" t="s">
        <v>298</v>
      </c>
      <c r="F135" s="165" t="s">
        <v>299</v>
      </c>
      <c r="G135" s="165" t="s">
        <v>300</v>
      </c>
      <c r="H135" s="168">
        <v>434663.67</v>
      </c>
      <c r="I135" s="65">
        <v>434663.67</v>
      </c>
      <c r="J135" s="65"/>
      <c r="K135" s="165"/>
      <c r="L135" s="65">
        <v>434663.67</v>
      </c>
      <c r="M135" s="165"/>
      <c r="N135" s="65"/>
      <c r="O135" s="65"/>
      <c r="P135" s="165"/>
      <c r="Q135" s="65"/>
      <c r="R135" s="65"/>
      <c r="S135" s="65"/>
      <c r="T135" s="65"/>
      <c r="U135" s="65"/>
      <c r="V135" s="65"/>
      <c r="W135" s="65"/>
    </row>
    <row r="136" ht="30" customHeight="true" spans="1:23">
      <c r="A136" s="165" t="str">
        <f t="shared" si="2"/>
        <v>       玉溪市妇幼保健院</v>
      </c>
      <c r="B136" s="165" t="s">
        <v>373</v>
      </c>
      <c r="C136" s="165" t="s">
        <v>374</v>
      </c>
      <c r="D136" s="165" t="s">
        <v>138</v>
      </c>
      <c r="E136" s="165" t="s">
        <v>357</v>
      </c>
      <c r="F136" s="165" t="s">
        <v>258</v>
      </c>
      <c r="G136" s="165" t="s">
        <v>259</v>
      </c>
      <c r="H136" s="168">
        <v>40500</v>
      </c>
      <c r="I136" s="65">
        <v>40500</v>
      </c>
      <c r="J136" s="65"/>
      <c r="K136" s="165"/>
      <c r="L136" s="65">
        <v>40500</v>
      </c>
      <c r="M136" s="165"/>
      <c r="N136" s="65"/>
      <c r="O136" s="65"/>
      <c r="P136" s="165"/>
      <c r="Q136" s="65"/>
      <c r="R136" s="65"/>
      <c r="S136" s="65"/>
      <c r="T136" s="65"/>
      <c r="U136" s="65"/>
      <c r="V136" s="65"/>
      <c r="W136" s="65"/>
    </row>
    <row r="137" ht="20.25" customHeight="true" spans="1:23">
      <c r="A137" s="165" t="str">
        <f t="shared" si="2"/>
        <v>       玉溪市妇幼保健院</v>
      </c>
      <c r="B137" s="165" t="s">
        <v>375</v>
      </c>
      <c r="C137" s="165" t="s">
        <v>306</v>
      </c>
      <c r="D137" s="165" t="s">
        <v>138</v>
      </c>
      <c r="E137" s="165" t="s">
        <v>357</v>
      </c>
      <c r="F137" s="165" t="s">
        <v>308</v>
      </c>
      <c r="G137" s="165" t="s">
        <v>309</v>
      </c>
      <c r="H137" s="168">
        <v>15000</v>
      </c>
      <c r="I137" s="65">
        <v>15000</v>
      </c>
      <c r="J137" s="65"/>
      <c r="K137" s="165"/>
      <c r="L137" s="65">
        <v>15000</v>
      </c>
      <c r="M137" s="165"/>
      <c r="N137" s="65"/>
      <c r="O137" s="65"/>
      <c r="P137" s="165"/>
      <c r="Q137" s="65"/>
      <c r="R137" s="65"/>
      <c r="S137" s="65"/>
      <c r="T137" s="65"/>
      <c r="U137" s="65"/>
      <c r="V137" s="65"/>
      <c r="W137" s="65"/>
    </row>
    <row r="138" ht="20.25" customHeight="true" spans="1:23">
      <c r="A138" s="165" t="str">
        <f t="shared" si="2"/>
        <v>       玉溪市妇幼保健院</v>
      </c>
      <c r="B138" s="165" t="s">
        <v>375</v>
      </c>
      <c r="C138" s="165" t="s">
        <v>306</v>
      </c>
      <c r="D138" s="165" t="s">
        <v>138</v>
      </c>
      <c r="E138" s="165" t="s">
        <v>357</v>
      </c>
      <c r="F138" s="165" t="s">
        <v>310</v>
      </c>
      <c r="G138" s="165" t="s">
        <v>311</v>
      </c>
      <c r="H138" s="168">
        <v>40000</v>
      </c>
      <c r="I138" s="65">
        <v>40000</v>
      </c>
      <c r="J138" s="65"/>
      <c r="K138" s="165"/>
      <c r="L138" s="65">
        <v>40000</v>
      </c>
      <c r="M138" s="165"/>
      <c r="N138" s="65"/>
      <c r="O138" s="65"/>
      <c r="P138" s="165"/>
      <c r="Q138" s="65"/>
      <c r="R138" s="65"/>
      <c r="S138" s="65"/>
      <c r="T138" s="65"/>
      <c r="U138" s="65"/>
      <c r="V138" s="65"/>
      <c r="W138" s="65"/>
    </row>
    <row r="139" ht="20.25" customHeight="true" spans="1:23">
      <c r="A139" s="165" t="str">
        <f t="shared" si="2"/>
        <v>       玉溪市妇幼保健院</v>
      </c>
      <c r="B139" s="165" t="s">
        <v>375</v>
      </c>
      <c r="C139" s="165" t="s">
        <v>306</v>
      </c>
      <c r="D139" s="165" t="s">
        <v>138</v>
      </c>
      <c r="E139" s="165" t="s">
        <v>357</v>
      </c>
      <c r="F139" s="165" t="s">
        <v>314</v>
      </c>
      <c r="G139" s="165" t="s">
        <v>315</v>
      </c>
      <c r="H139" s="168">
        <v>34230</v>
      </c>
      <c r="I139" s="65">
        <v>34230</v>
      </c>
      <c r="J139" s="65"/>
      <c r="K139" s="165"/>
      <c r="L139" s="65">
        <v>34230</v>
      </c>
      <c r="M139" s="165"/>
      <c r="N139" s="65"/>
      <c r="O139" s="65"/>
      <c r="P139" s="165"/>
      <c r="Q139" s="65"/>
      <c r="R139" s="65"/>
      <c r="S139" s="65"/>
      <c r="T139" s="65"/>
      <c r="U139" s="65"/>
      <c r="V139" s="65"/>
      <c r="W139" s="65"/>
    </row>
    <row r="140" ht="20.25" customHeight="true" spans="1:23">
      <c r="A140" s="165" t="str">
        <f t="shared" si="2"/>
        <v>       玉溪市妇幼保健院</v>
      </c>
      <c r="B140" s="165" t="s">
        <v>376</v>
      </c>
      <c r="C140" s="165" t="s">
        <v>377</v>
      </c>
      <c r="D140" s="165" t="s">
        <v>138</v>
      </c>
      <c r="E140" s="165" t="s">
        <v>357</v>
      </c>
      <c r="F140" s="165" t="s">
        <v>227</v>
      </c>
      <c r="G140" s="165" t="s">
        <v>228</v>
      </c>
      <c r="H140" s="168">
        <v>1010000</v>
      </c>
      <c r="I140" s="65"/>
      <c r="J140" s="65"/>
      <c r="K140" s="165"/>
      <c r="L140" s="65"/>
      <c r="M140" s="165"/>
      <c r="N140" s="65"/>
      <c r="O140" s="65"/>
      <c r="P140" s="165"/>
      <c r="Q140" s="65"/>
      <c r="R140" s="65">
        <v>1010000</v>
      </c>
      <c r="S140" s="65">
        <v>1010000</v>
      </c>
      <c r="T140" s="65"/>
      <c r="U140" s="65"/>
      <c r="V140" s="65"/>
      <c r="W140" s="65"/>
    </row>
    <row r="141" ht="33" customHeight="true" spans="1:23">
      <c r="A141" s="165" t="str">
        <f t="shared" si="2"/>
        <v>       玉溪市妇幼保健院</v>
      </c>
      <c r="B141" s="165" t="s">
        <v>378</v>
      </c>
      <c r="C141" s="165" t="s">
        <v>323</v>
      </c>
      <c r="D141" s="165" t="s">
        <v>148</v>
      </c>
      <c r="E141" s="165" t="s">
        <v>241</v>
      </c>
      <c r="F141" s="165" t="s">
        <v>239</v>
      </c>
      <c r="G141" s="165" t="s">
        <v>240</v>
      </c>
      <c r="H141" s="168">
        <v>16000</v>
      </c>
      <c r="I141" s="65">
        <v>16000</v>
      </c>
      <c r="J141" s="65"/>
      <c r="K141" s="165"/>
      <c r="L141" s="65">
        <v>16000</v>
      </c>
      <c r="M141" s="165"/>
      <c r="N141" s="65"/>
      <c r="O141" s="65"/>
      <c r="P141" s="165"/>
      <c r="Q141" s="65"/>
      <c r="R141" s="65"/>
      <c r="S141" s="65"/>
      <c r="T141" s="65"/>
      <c r="U141" s="65"/>
      <c r="V141" s="65"/>
      <c r="W141" s="65"/>
    </row>
    <row r="142" ht="29" customHeight="true" spans="1:23">
      <c r="A142" s="165" t="str">
        <f t="shared" si="2"/>
        <v>       玉溪市妇幼保健院</v>
      </c>
      <c r="B142" s="165" t="s">
        <v>379</v>
      </c>
      <c r="C142" s="165" t="s">
        <v>380</v>
      </c>
      <c r="D142" s="165" t="s">
        <v>138</v>
      </c>
      <c r="E142" s="165" t="s">
        <v>357</v>
      </c>
      <c r="F142" s="165" t="s">
        <v>295</v>
      </c>
      <c r="G142" s="165" t="s">
        <v>257</v>
      </c>
      <c r="H142" s="168">
        <v>2010000</v>
      </c>
      <c r="I142" s="65"/>
      <c r="J142" s="65"/>
      <c r="K142" s="165"/>
      <c r="L142" s="65"/>
      <c r="M142" s="165"/>
      <c r="N142" s="65"/>
      <c r="O142" s="65"/>
      <c r="P142" s="165"/>
      <c r="Q142" s="65"/>
      <c r="R142" s="65">
        <v>2010000</v>
      </c>
      <c r="S142" s="65">
        <v>2010000</v>
      </c>
      <c r="T142" s="65"/>
      <c r="U142" s="65"/>
      <c r="V142" s="65"/>
      <c r="W142" s="65"/>
    </row>
    <row r="143" ht="20.25" customHeight="true" spans="1:23">
      <c r="A143" s="171" t="s">
        <v>71</v>
      </c>
      <c r="B143" s="165"/>
      <c r="C143" s="165"/>
      <c r="D143" s="165"/>
      <c r="E143" s="165"/>
      <c r="F143" s="165"/>
      <c r="G143" s="165"/>
      <c r="H143" s="168">
        <v>8361319.55</v>
      </c>
      <c r="I143" s="65">
        <v>8361319.55</v>
      </c>
      <c r="J143" s="65">
        <v>3014946.83</v>
      </c>
      <c r="K143" s="165"/>
      <c r="L143" s="65">
        <v>5346372.72</v>
      </c>
      <c r="M143" s="165"/>
      <c r="N143" s="65"/>
      <c r="O143" s="65"/>
      <c r="P143" s="165"/>
      <c r="Q143" s="65"/>
      <c r="R143" s="65"/>
      <c r="S143" s="65"/>
      <c r="T143" s="65"/>
      <c r="U143" s="65"/>
      <c r="V143" s="65"/>
      <c r="W143" s="65"/>
    </row>
    <row r="144" ht="20.25" customHeight="true" spans="1:23">
      <c r="A144" s="165" t="str">
        <f t="shared" ref="A144:A177" si="3">"       "&amp;"玉溪市卫生健康委员会卫生监督局"</f>
        <v>       玉溪市卫生健康委员会卫生监督局</v>
      </c>
      <c r="B144" s="165" t="s">
        <v>381</v>
      </c>
      <c r="C144" s="165" t="s">
        <v>217</v>
      </c>
      <c r="D144" s="165" t="s">
        <v>137</v>
      </c>
      <c r="E144" s="165" t="s">
        <v>382</v>
      </c>
      <c r="F144" s="165" t="s">
        <v>219</v>
      </c>
      <c r="G144" s="165" t="s">
        <v>220</v>
      </c>
      <c r="H144" s="168">
        <v>1454724</v>
      </c>
      <c r="I144" s="65">
        <v>1454724</v>
      </c>
      <c r="J144" s="65">
        <v>636441.75</v>
      </c>
      <c r="K144" s="165"/>
      <c r="L144" s="65">
        <v>818282.25</v>
      </c>
      <c r="M144" s="165"/>
      <c r="N144" s="65"/>
      <c r="O144" s="65"/>
      <c r="P144" s="165"/>
      <c r="Q144" s="65"/>
      <c r="R144" s="65"/>
      <c r="S144" s="65"/>
      <c r="T144" s="65"/>
      <c r="U144" s="65"/>
      <c r="V144" s="65"/>
      <c r="W144" s="65"/>
    </row>
    <row r="145" ht="20.25" customHeight="true" spans="1:23">
      <c r="A145" s="165" t="str">
        <f t="shared" si="3"/>
        <v>       玉溪市卫生健康委员会卫生监督局</v>
      </c>
      <c r="B145" s="165" t="s">
        <v>381</v>
      </c>
      <c r="C145" s="165" t="s">
        <v>217</v>
      </c>
      <c r="D145" s="165" t="s">
        <v>137</v>
      </c>
      <c r="E145" s="165" t="s">
        <v>382</v>
      </c>
      <c r="F145" s="165" t="s">
        <v>221</v>
      </c>
      <c r="G145" s="165" t="s">
        <v>222</v>
      </c>
      <c r="H145" s="168">
        <v>1817964</v>
      </c>
      <c r="I145" s="65">
        <v>1817964</v>
      </c>
      <c r="J145" s="65">
        <v>795359.25</v>
      </c>
      <c r="K145" s="165"/>
      <c r="L145" s="65">
        <v>1022604.75</v>
      </c>
      <c r="M145" s="165"/>
      <c r="N145" s="65"/>
      <c r="O145" s="65"/>
      <c r="P145" s="165"/>
      <c r="Q145" s="65"/>
      <c r="R145" s="65"/>
      <c r="S145" s="65"/>
      <c r="T145" s="65"/>
      <c r="U145" s="65"/>
      <c r="V145" s="65"/>
      <c r="W145" s="65"/>
    </row>
    <row r="146" ht="20.25" customHeight="true" spans="1:23">
      <c r="A146" s="165" t="str">
        <f t="shared" si="3"/>
        <v>       玉溪市卫生健康委员会卫生监督局</v>
      </c>
      <c r="B146" s="165" t="s">
        <v>381</v>
      </c>
      <c r="C146" s="165" t="s">
        <v>217</v>
      </c>
      <c r="D146" s="165" t="s">
        <v>161</v>
      </c>
      <c r="E146" s="165" t="s">
        <v>223</v>
      </c>
      <c r="F146" s="165" t="s">
        <v>221</v>
      </c>
      <c r="G146" s="165" t="s">
        <v>222</v>
      </c>
      <c r="H146" s="168">
        <v>22176</v>
      </c>
      <c r="I146" s="65">
        <v>22176</v>
      </c>
      <c r="J146" s="65">
        <v>5544</v>
      </c>
      <c r="K146" s="165"/>
      <c r="L146" s="65">
        <v>16632</v>
      </c>
      <c r="M146" s="165"/>
      <c r="N146" s="65"/>
      <c r="O146" s="65"/>
      <c r="P146" s="165"/>
      <c r="Q146" s="65"/>
      <c r="R146" s="65"/>
      <c r="S146" s="65"/>
      <c r="T146" s="65"/>
      <c r="U146" s="65"/>
      <c r="V146" s="65"/>
      <c r="W146" s="65"/>
    </row>
    <row r="147" ht="28" customHeight="true" spans="1:23">
      <c r="A147" s="165" t="str">
        <f t="shared" si="3"/>
        <v>       玉溪市卫生健康委员会卫生监督局</v>
      </c>
      <c r="B147" s="165" t="s">
        <v>383</v>
      </c>
      <c r="C147" s="165" t="s">
        <v>230</v>
      </c>
      <c r="D147" s="165" t="s">
        <v>115</v>
      </c>
      <c r="E147" s="165" t="s">
        <v>231</v>
      </c>
      <c r="F147" s="165" t="s">
        <v>232</v>
      </c>
      <c r="G147" s="165" t="s">
        <v>233</v>
      </c>
      <c r="H147" s="168">
        <v>648973.92</v>
      </c>
      <c r="I147" s="65">
        <v>648973.92</v>
      </c>
      <c r="J147" s="65">
        <v>162243.48</v>
      </c>
      <c r="K147" s="165"/>
      <c r="L147" s="65">
        <v>486730.44</v>
      </c>
      <c r="M147" s="165"/>
      <c r="N147" s="65"/>
      <c r="O147" s="65"/>
      <c r="P147" s="165"/>
      <c r="Q147" s="65"/>
      <c r="R147" s="65"/>
      <c r="S147" s="65"/>
      <c r="T147" s="65"/>
      <c r="U147" s="65"/>
      <c r="V147" s="65"/>
      <c r="W147" s="65"/>
    </row>
    <row r="148" ht="20.25" customHeight="true" spans="1:23">
      <c r="A148" s="165" t="str">
        <f t="shared" si="3"/>
        <v>       玉溪市卫生健康委员会卫生监督局</v>
      </c>
      <c r="B148" s="165" t="s">
        <v>383</v>
      </c>
      <c r="C148" s="165" t="s">
        <v>230</v>
      </c>
      <c r="D148" s="165" t="s">
        <v>137</v>
      </c>
      <c r="E148" s="165" t="s">
        <v>382</v>
      </c>
      <c r="F148" s="165" t="s">
        <v>234</v>
      </c>
      <c r="G148" s="165" t="s">
        <v>235</v>
      </c>
      <c r="H148" s="168">
        <v>1531.22</v>
      </c>
      <c r="I148" s="65">
        <v>1531.22</v>
      </c>
      <c r="J148" s="65">
        <v>382.81</v>
      </c>
      <c r="K148" s="165"/>
      <c r="L148" s="65">
        <v>1148.41</v>
      </c>
      <c r="M148" s="165"/>
      <c r="N148" s="65"/>
      <c r="O148" s="65"/>
      <c r="P148" s="165"/>
      <c r="Q148" s="65"/>
      <c r="R148" s="65"/>
      <c r="S148" s="65"/>
      <c r="T148" s="65"/>
      <c r="U148" s="65"/>
      <c r="V148" s="65"/>
      <c r="W148" s="65"/>
    </row>
    <row r="149" ht="20.25" customHeight="true" spans="1:23">
      <c r="A149" s="165" t="str">
        <f t="shared" si="3"/>
        <v>       玉溪市卫生健康委员会卫生监督局</v>
      </c>
      <c r="B149" s="165" t="s">
        <v>383</v>
      </c>
      <c r="C149" s="165" t="s">
        <v>230</v>
      </c>
      <c r="D149" s="165" t="s">
        <v>147</v>
      </c>
      <c r="E149" s="165" t="s">
        <v>236</v>
      </c>
      <c r="F149" s="165" t="s">
        <v>237</v>
      </c>
      <c r="G149" s="165" t="s">
        <v>238</v>
      </c>
      <c r="H149" s="168">
        <v>336655.22</v>
      </c>
      <c r="I149" s="65">
        <v>336655.22</v>
      </c>
      <c r="J149" s="65">
        <v>84163.81</v>
      </c>
      <c r="K149" s="165"/>
      <c r="L149" s="65">
        <v>252491.41</v>
      </c>
      <c r="M149" s="165"/>
      <c r="N149" s="65"/>
      <c r="O149" s="65"/>
      <c r="P149" s="165"/>
      <c r="Q149" s="65"/>
      <c r="R149" s="65"/>
      <c r="S149" s="65"/>
      <c r="T149" s="65"/>
      <c r="U149" s="65"/>
      <c r="V149" s="65"/>
      <c r="W149" s="65"/>
    </row>
    <row r="150" ht="20.25" customHeight="true" spans="1:23">
      <c r="A150" s="165" t="str">
        <f t="shared" si="3"/>
        <v>       玉溪市卫生健康委员会卫生监督局</v>
      </c>
      <c r="B150" s="165" t="s">
        <v>383</v>
      </c>
      <c r="C150" s="165" t="s">
        <v>230</v>
      </c>
      <c r="D150" s="165" t="s">
        <v>149</v>
      </c>
      <c r="E150" s="165" t="s">
        <v>242</v>
      </c>
      <c r="F150" s="165" t="s">
        <v>243</v>
      </c>
      <c r="G150" s="165" t="s">
        <v>244</v>
      </c>
      <c r="H150" s="168">
        <v>230884.95</v>
      </c>
      <c r="I150" s="65">
        <v>230884.95</v>
      </c>
      <c r="J150" s="65">
        <v>57721.24</v>
      </c>
      <c r="K150" s="165"/>
      <c r="L150" s="65">
        <v>173163.71</v>
      </c>
      <c r="M150" s="165"/>
      <c r="N150" s="65"/>
      <c r="O150" s="65"/>
      <c r="P150" s="165"/>
      <c r="Q150" s="65"/>
      <c r="R150" s="65"/>
      <c r="S150" s="65"/>
      <c r="T150" s="65"/>
      <c r="U150" s="65"/>
      <c r="V150" s="65"/>
      <c r="W150" s="65"/>
    </row>
    <row r="151" ht="20.25" customHeight="true" spans="1:23">
      <c r="A151" s="165" t="str">
        <f t="shared" si="3"/>
        <v>       玉溪市卫生健康委员会卫生监督局</v>
      </c>
      <c r="B151" s="165" t="s">
        <v>383</v>
      </c>
      <c r="C151" s="165" t="s">
        <v>230</v>
      </c>
      <c r="D151" s="165" t="s">
        <v>150</v>
      </c>
      <c r="E151" s="165" t="s">
        <v>245</v>
      </c>
      <c r="F151" s="165" t="s">
        <v>234</v>
      </c>
      <c r="G151" s="165" t="s">
        <v>235</v>
      </c>
      <c r="H151" s="168">
        <v>32797.96</v>
      </c>
      <c r="I151" s="65">
        <v>32797.96</v>
      </c>
      <c r="J151" s="65">
        <v>20325.49</v>
      </c>
      <c r="K151" s="165"/>
      <c r="L151" s="65">
        <v>12472.47</v>
      </c>
      <c r="M151" s="165"/>
      <c r="N151" s="65"/>
      <c r="O151" s="65"/>
      <c r="P151" s="165"/>
      <c r="Q151" s="65"/>
      <c r="R151" s="65"/>
      <c r="S151" s="65"/>
      <c r="T151" s="65"/>
      <c r="U151" s="65"/>
      <c r="V151" s="65"/>
      <c r="W151" s="65"/>
    </row>
    <row r="152" ht="20.25" customHeight="true" spans="1:23">
      <c r="A152" s="165" t="str">
        <f t="shared" si="3"/>
        <v>       玉溪市卫生健康委员会卫生监督局</v>
      </c>
      <c r="B152" s="165" t="s">
        <v>384</v>
      </c>
      <c r="C152" s="165" t="s">
        <v>247</v>
      </c>
      <c r="D152" s="165" t="s">
        <v>160</v>
      </c>
      <c r="E152" s="165" t="s">
        <v>247</v>
      </c>
      <c r="F152" s="165" t="s">
        <v>248</v>
      </c>
      <c r="G152" s="165" t="s">
        <v>247</v>
      </c>
      <c r="H152" s="168">
        <v>573000</v>
      </c>
      <c r="I152" s="65">
        <v>573000</v>
      </c>
      <c r="J152" s="65">
        <v>143250</v>
      </c>
      <c r="K152" s="165"/>
      <c r="L152" s="65">
        <v>429750</v>
      </c>
      <c r="M152" s="165"/>
      <c r="N152" s="65"/>
      <c r="O152" s="65"/>
      <c r="P152" s="165"/>
      <c r="Q152" s="65"/>
      <c r="R152" s="65"/>
      <c r="S152" s="65"/>
      <c r="T152" s="65"/>
      <c r="U152" s="65"/>
      <c r="V152" s="65"/>
      <c r="W152" s="65"/>
    </row>
    <row r="153" ht="20.25" customHeight="true" spans="1:23">
      <c r="A153" s="165" t="str">
        <f t="shared" si="3"/>
        <v>       玉溪市卫生健康委员会卫生监督局</v>
      </c>
      <c r="B153" s="165" t="s">
        <v>385</v>
      </c>
      <c r="C153" s="165" t="s">
        <v>250</v>
      </c>
      <c r="D153" s="165" t="s">
        <v>113</v>
      </c>
      <c r="E153" s="165" t="s">
        <v>251</v>
      </c>
      <c r="F153" s="165" t="s">
        <v>254</v>
      </c>
      <c r="G153" s="165" t="s">
        <v>255</v>
      </c>
      <c r="H153" s="168">
        <v>530400</v>
      </c>
      <c r="I153" s="65">
        <v>530400</v>
      </c>
      <c r="J153" s="65">
        <v>530400</v>
      </c>
      <c r="K153" s="165"/>
      <c r="L153" s="65"/>
      <c r="M153" s="165"/>
      <c r="N153" s="65"/>
      <c r="O153" s="65"/>
      <c r="P153" s="165"/>
      <c r="Q153" s="65"/>
      <c r="R153" s="65"/>
      <c r="S153" s="65"/>
      <c r="T153" s="65"/>
      <c r="U153" s="65"/>
      <c r="V153" s="65"/>
      <c r="W153" s="65"/>
    </row>
    <row r="154" ht="20.25" customHeight="true" spans="1:23">
      <c r="A154" s="165" t="str">
        <f t="shared" si="3"/>
        <v>       玉溪市卫生健康委员会卫生监督局</v>
      </c>
      <c r="B154" s="165" t="s">
        <v>386</v>
      </c>
      <c r="C154" s="165" t="s">
        <v>257</v>
      </c>
      <c r="D154" s="165" t="s">
        <v>137</v>
      </c>
      <c r="E154" s="165" t="s">
        <v>382</v>
      </c>
      <c r="F154" s="165" t="s">
        <v>258</v>
      </c>
      <c r="G154" s="165" t="s">
        <v>259</v>
      </c>
      <c r="H154" s="168">
        <v>1015788</v>
      </c>
      <c r="I154" s="65">
        <v>1015788</v>
      </c>
      <c r="J154" s="65">
        <v>289794.75</v>
      </c>
      <c r="K154" s="165"/>
      <c r="L154" s="65">
        <v>725993.25</v>
      </c>
      <c r="M154" s="165"/>
      <c r="N154" s="65"/>
      <c r="O154" s="65"/>
      <c r="P154" s="165"/>
      <c r="Q154" s="65"/>
      <c r="R154" s="65"/>
      <c r="S154" s="65"/>
      <c r="T154" s="65"/>
      <c r="U154" s="65"/>
      <c r="V154" s="65"/>
      <c r="W154" s="65"/>
    </row>
    <row r="155" ht="20.25" customHeight="true" spans="1:23">
      <c r="A155" s="165" t="str">
        <f t="shared" si="3"/>
        <v>       玉溪市卫生健康委员会卫生监督局</v>
      </c>
      <c r="B155" s="165" t="s">
        <v>387</v>
      </c>
      <c r="C155" s="165" t="s">
        <v>261</v>
      </c>
      <c r="D155" s="165" t="s">
        <v>137</v>
      </c>
      <c r="E155" s="165" t="s">
        <v>382</v>
      </c>
      <c r="F155" s="165" t="s">
        <v>262</v>
      </c>
      <c r="G155" s="165" t="s">
        <v>263</v>
      </c>
      <c r="H155" s="168">
        <v>13100</v>
      </c>
      <c r="I155" s="65">
        <v>13100</v>
      </c>
      <c r="J155" s="65"/>
      <c r="K155" s="165"/>
      <c r="L155" s="65">
        <v>13100</v>
      </c>
      <c r="M155" s="165"/>
      <c r="N155" s="65"/>
      <c r="O155" s="65"/>
      <c r="P155" s="165"/>
      <c r="Q155" s="65"/>
      <c r="R155" s="65"/>
      <c r="S155" s="65"/>
      <c r="T155" s="65"/>
      <c r="U155" s="65"/>
      <c r="V155" s="65"/>
      <c r="W155" s="65"/>
    </row>
    <row r="156" ht="20.25" customHeight="true" spans="1:23">
      <c r="A156" s="165" t="str">
        <f t="shared" si="3"/>
        <v>       玉溪市卫生健康委员会卫生监督局</v>
      </c>
      <c r="B156" s="165" t="s">
        <v>388</v>
      </c>
      <c r="C156" s="165" t="s">
        <v>265</v>
      </c>
      <c r="D156" s="165" t="s">
        <v>137</v>
      </c>
      <c r="E156" s="165" t="s">
        <v>382</v>
      </c>
      <c r="F156" s="165" t="s">
        <v>266</v>
      </c>
      <c r="G156" s="165" t="s">
        <v>267</v>
      </c>
      <c r="H156" s="168">
        <v>300000</v>
      </c>
      <c r="I156" s="65">
        <v>300000</v>
      </c>
      <c r="J156" s="65">
        <v>131250</v>
      </c>
      <c r="K156" s="165"/>
      <c r="L156" s="65">
        <v>168750</v>
      </c>
      <c r="M156" s="165"/>
      <c r="N156" s="65"/>
      <c r="O156" s="65"/>
      <c r="P156" s="165"/>
      <c r="Q156" s="65"/>
      <c r="R156" s="65"/>
      <c r="S156" s="65"/>
      <c r="T156" s="65"/>
      <c r="U156" s="65"/>
      <c r="V156" s="65"/>
      <c r="W156" s="65"/>
    </row>
    <row r="157" ht="20.25" customHeight="true" spans="1:23">
      <c r="A157" s="165" t="str">
        <f t="shared" si="3"/>
        <v>       玉溪市卫生健康委员会卫生监督局</v>
      </c>
      <c r="B157" s="165" t="s">
        <v>389</v>
      </c>
      <c r="C157" s="165" t="s">
        <v>269</v>
      </c>
      <c r="D157" s="165" t="s">
        <v>137</v>
      </c>
      <c r="E157" s="165" t="s">
        <v>382</v>
      </c>
      <c r="F157" s="165" t="s">
        <v>270</v>
      </c>
      <c r="G157" s="165" t="s">
        <v>269</v>
      </c>
      <c r="H157" s="168">
        <v>65897.28</v>
      </c>
      <c r="I157" s="65">
        <v>65897.28</v>
      </c>
      <c r="J157" s="65"/>
      <c r="K157" s="165"/>
      <c r="L157" s="65">
        <v>65897.28</v>
      </c>
      <c r="M157" s="165"/>
      <c r="N157" s="65"/>
      <c r="O157" s="65"/>
      <c r="P157" s="165"/>
      <c r="Q157" s="65"/>
      <c r="R157" s="65"/>
      <c r="S157" s="65"/>
      <c r="T157" s="65"/>
      <c r="U157" s="65"/>
      <c r="V157" s="65"/>
      <c r="W157" s="65"/>
    </row>
    <row r="158" ht="20.25" customHeight="true" spans="1:23">
      <c r="A158" s="165" t="str">
        <f t="shared" si="3"/>
        <v>       玉溪市卫生健康委员会卫生监督局</v>
      </c>
      <c r="B158" s="165" t="s">
        <v>390</v>
      </c>
      <c r="C158" s="165" t="s">
        <v>272</v>
      </c>
      <c r="D158" s="165" t="s">
        <v>113</v>
      </c>
      <c r="E158" s="165" t="s">
        <v>251</v>
      </c>
      <c r="F158" s="165" t="s">
        <v>273</v>
      </c>
      <c r="G158" s="165" t="s">
        <v>274</v>
      </c>
      <c r="H158" s="168">
        <v>10200</v>
      </c>
      <c r="I158" s="65">
        <v>10200</v>
      </c>
      <c r="J158" s="65">
        <v>10200</v>
      </c>
      <c r="K158" s="165"/>
      <c r="L158" s="65"/>
      <c r="M158" s="165"/>
      <c r="N158" s="65"/>
      <c r="O158" s="65"/>
      <c r="P158" s="165"/>
      <c r="Q158" s="65"/>
      <c r="R158" s="65"/>
      <c r="S158" s="65"/>
      <c r="T158" s="65"/>
      <c r="U158" s="65"/>
      <c r="V158" s="65"/>
      <c r="W158" s="65"/>
    </row>
    <row r="159" ht="20.25" customHeight="true" spans="1:23">
      <c r="A159" s="165" t="str">
        <f t="shared" si="3"/>
        <v>       玉溪市卫生健康委员会卫生监督局</v>
      </c>
      <c r="B159" s="165" t="s">
        <v>390</v>
      </c>
      <c r="C159" s="165" t="s">
        <v>272</v>
      </c>
      <c r="D159" s="165" t="s">
        <v>137</v>
      </c>
      <c r="E159" s="165" t="s">
        <v>382</v>
      </c>
      <c r="F159" s="165" t="s">
        <v>275</v>
      </c>
      <c r="G159" s="165" t="s">
        <v>276</v>
      </c>
      <c r="H159" s="168">
        <v>43430</v>
      </c>
      <c r="I159" s="65">
        <v>43430</v>
      </c>
      <c r="J159" s="65">
        <v>7227.75</v>
      </c>
      <c r="K159" s="165"/>
      <c r="L159" s="65">
        <v>36202.25</v>
      </c>
      <c r="M159" s="165"/>
      <c r="N159" s="65"/>
      <c r="O159" s="65"/>
      <c r="P159" s="165"/>
      <c r="Q159" s="65"/>
      <c r="R159" s="65"/>
      <c r="S159" s="65"/>
      <c r="T159" s="65"/>
      <c r="U159" s="65"/>
      <c r="V159" s="65"/>
      <c r="W159" s="65"/>
    </row>
    <row r="160" ht="20.25" customHeight="true" spans="1:23">
      <c r="A160" s="165" t="str">
        <f t="shared" si="3"/>
        <v>       玉溪市卫生健康委员会卫生监督局</v>
      </c>
      <c r="B160" s="165" t="s">
        <v>390</v>
      </c>
      <c r="C160" s="165" t="s">
        <v>272</v>
      </c>
      <c r="D160" s="165" t="s">
        <v>137</v>
      </c>
      <c r="E160" s="165" t="s">
        <v>382</v>
      </c>
      <c r="F160" s="165" t="s">
        <v>308</v>
      </c>
      <c r="G160" s="165" t="s">
        <v>309</v>
      </c>
      <c r="H160" s="168">
        <v>3000</v>
      </c>
      <c r="I160" s="65">
        <v>3000</v>
      </c>
      <c r="J160" s="65">
        <v>750</v>
      </c>
      <c r="K160" s="165"/>
      <c r="L160" s="65">
        <v>2250</v>
      </c>
      <c r="M160" s="165"/>
      <c r="N160" s="65"/>
      <c r="O160" s="65"/>
      <c r="P160" s="165"/>
      <c r="Q160" s="65"/>
      <c r="R160" s="65"/>
      <c r="S160" s="65"/>
      <c r="T160" s="65"/>
      <c r="U160" s="65"/>
      <c r="V160" s="65"/>
      <c r="W160" s="65"/>
    </row>
    <row r="161" ht="20.25" customHeight="true" spans="1:23">
      <c r="A161" s="165" t="str">
        <f t="shared" si="3"/>
        <v>       玉溪市卫生健康委员会卫生监督局</v>
      </c>
      <c r="B161" s="165" t="s">
        <v>390</v>
      </c>
      <c r="C161" s="165" t="s">
        <v>272</v>
      </c>
      <c r="D161" s="165" t="s">
        <v>137</v>
      </c>
      <c r="E161" s="165" t="s">
        <v>382</v>
      </c>
      <c r="F161" s="165" t="s">
        <v>310</v>
      </c>
      <c r="G161" s="165" t="s">
        <v>311</v>
      </c>
      <c r="H161" s="168">
        <v>5000</v>
      </c>
      <c r="I161" s="65">
        <v>5000</v>
      </c>
      <c r="J161" s="65">
        <v>1250</v>
      </c>
      <c r="K161" s="165"/>
      <c r="L161" s="65">
        <v>3750</v>
      </c>
      <c r="M161" s="165"/>
      <c r="N161" s="65"/>
      <c r="O161" s="65"/>
      <c r="P161" s="165"/>
      <c r="Q161" s="65"/>
      <c r="R161" s="65"/>
      <c r="S161" s="65"/>
      <c r="T161" s="65"/>
      <c r="U161" s="65"/>
      <c r="V161" s="65"/>
      <c r="W161" s="65"/>
    </row>
    <row r="162" ht="20.25" customHeight="true" spans="1:23">
      <c r="A162" s="165" t="str">
        <f t="shared" si="3"/>
        <v>       玉溪市卫生健康委员会卫生监督局</v>
      </c>
      <c r="B162" s="165" t="s">
        <v>390</v>
      </c>
      <c r="C162" s="165" t="s">
        <v>272</v>
      </c>
      <c r="D162" s="165" t="s">
        <v>137</v>
      </c>
      <c r="E162" s="165" t="s">
        <v>382</v>
      </c>
      <c r="F162" s="165" t="s">
        <v>277</v>
      </c>
      <c r="G162" s="165" t="s">
        <v>278</v>
      </c>
      <c r="H162" s="168">
        <v>31570</v>
      </c>
      <c r="I162" s="65">
        <v>31570</v>
      </c>
      <c r="J162" s="65">
        <v>7892.5</v>
      </c>
      <c r="K162" s="165"/>
      <c r="L162" s="65">
        <v>23677.5</v>
      </c>
      <c r="M162" s="165"/>
      <c r="N162" s="65"/>
      <c r="O162" s="65"/>
      <c r="P162" s="165"/>
      <c r="Q162" s="65"/>
      <c r="R162" s="65"/>
      <c r="S162" s="65"/>
      <c r="T162" s="65"/>
      <c r="U162" s="65"/>
      <c r="V162" s="65"/>
      <c r="W162" s="65"/>
    </row>
    <row r="163" ht="20.25" customHeight="true" spans="1:23">
      <c r="A163" s="165" t="str">
        <f t="shared" si="3"/>
        <v>       玉溪市卫生健康委员会卫生监督局</v>
      </c>
      <c r="B163" s="165" t="s">
        <v>390</v>
      </c>
      <c r="C163" s="165" t="s">
        <v>272</v>
      </c>
      <c r="D163" s="165" t="s">
        <v>137</v>
      </c>
      <c r="E163" s="165" t="s">
        <v>382</v>
      </c>
      <c r="F163" s="165" t="s">
        <v>279</v>
      </c>
      <c r="G163" s="165" t="s">
        <v>280</v>
      </c>
      <c r="H163" s="168">
        <v>10000</v>
      </c>
      <c r="I163" s="65">
        <v>10000</v>
      </c>
      <c r="J163" s="65">
        <v>2500</v>
      </c>
      <c r="K163" s="165"/>
      <c r="L163" s="65">
        <v>7500</v>
      </c>
      <c r="M163" s="165"/>
      <c r="N163" s="65"/>
      <c r="O163" s="65"/>
      <c r="P163" s="165"/>
      <c r="Q163" s="65"/>
      <c r="R163" s="65"/>
      <c r="S163" s="65"/>
      <c r="T163" s="65"/>
      <c r="U163" s="65"/>
      <c r="V163" s="65"/>
      <c r="W163" s="65"/>
    </row>
    <row r="164" ht="20.25" customHeight="true" spans="1:23">
      <c r="A164" s="165" t="str">
        <f t="shared" si="3"/>
        <v>       玉溪市卫生健康委员会卫生监督局</v>
      </c>
      <c r="B164" s="165" t="s">
        <v>390</v>
      </c>
      <c r="C164" s="165" t="s">
        <v>272</v>
      </c>
      <c r="D164" s="165" t="s">
        <v>137</v>
      </c>
      <c r="E164" s="165" t="s">
        <v>382</v>
      </c>
      <c r="F164" s="165" t="s">
        <v>281</v>
      </c>
      <c r="G164" s="165" t="s">
        <v>282</v>
      </c>
      <c r="H164" s="168">
        <v>10000</v>
      </c>
      <c r="I164" s="65">
        <v>10000</v>
      </c>
      <c r="J164" s="65">
        <v>2500</v>
      </c>
      <c r="K164" s="165"/>
      <c r="L164" s="65">
        <v>7500</v>
      </c>
      <c r="M164" s="165"/>
      <c r="N164" s="65"/>
      <c r="O164" s="65"/>
      <c r="P164" s="165"/>
      <c r="Q164" s="65"/>
      <c r="R164" s="65"/>
      <c r="S164" s="65"/>
      <c r="T164" s="65"/>
      <c r="U164" s="65"/>
      <c r="V164" s="65"/>
      <c r="W164" s="65"/>
    </row>
    <row r="165" ht="20.25" customHeight="true" spans="1:23">
      <c r="A165" s="165" t="str">
        <f t="shared" si="3"/>
        <v>       玉溪市卫生健康委员会卫生监督局</v>
      </c>
      <c r="B165" s="165" t="s">
        <v>390</v>
      </c>
      <c r="C165" s="165" t="s">
        <v>272</v>
      </c>
      <c r="D165" s="165" t="s">
        <v>137</v>
      </c>
      <c r="E165" s="165" t="s">
        <v>382</v>
      </c>
      <c r="F165" s="165" t="s">
        <v>316</v>
      </c>
      <c r="G165" s="165" t="s">
        <v>317</v>
      </c>
      <c r="H165" s="168">
        <v>14400</v>
      </c>
      <c r="I165" s="65">
        <v>14400</v>
      </c>
      <c r="J165" s="65">
        <v>3600</v>
      </c>
      <c r="K165" s="165"/>
      <c r="L165" s="65">
        <v>10800</v>
      </c>
      <c r="M165" s="165"/>
      <c r="N165" s="65"/>
      <c r="O165" s="65"/>
      <c r="P165" s="165"/>
      <c r="Q165" s="65"/>
      <c r="R165" s="65"/>
      <c r="S165" s="65"/>
      <c r="T165" s="65"/>
      <c r="U165" s="65"/>
      <c r="V165" s="65"/>
      <c r="W165" s="65"/>
    </row>
    <row r="166" ht="20.25" customHeight="true" spans="1:23">
      <c r="A166" s="165" t="str">
        <f t="shared" si="3"/>
        <v>       玉溪市卫生健康委员会卫生监督局</v>
      </c>
      <c r="B166" s="165" t="s">
        <v>390</v>
      </c>
      <c r="C166" s="165" t="s">
        <v>272</v>
      </c>
      <c r="D166" s="165" t="s">
        <v>137</v>
      </c>
      <c r="E166" s="165" t="s">
        <v>382</v>
      </c>
      <c r="F166" s="165" t="s">
        <v>283</v>
      </c>
      <c r="G166" s="165" t="s">
        <v>284</v>
      </c>
      <c r="H166" s="168">
        <v>244600</v>
      </c>
      <c r="I166" s="65">
        <v>244600</v>
      </c>
      <c r="J166" s="65">
        <v>61150</v>
      </c>
      <c r="K166" s="165"/>
      <c r="L166" s="65">
        <v>183450</v>
      </c>
      <c r="M166" s="165"/>
      <c r="N166" s="65"/>
      <c r="O166" s="65"/>
      <c r="P166" s="165"/>
      <c r="Q166" s="65"/>
      <c r="R166" s="65"/>
      <c r="S166" s="65"/>
      <c r="T166" s="65"/>
      <c r="U166" s="65"/>
      <c r="V166" s="65"/>
      <c r="W166" s="65"/>
    </row>
    <row r="167" ht="20.25" customHeight="true" spans="1:23">
      <c r="A167" s="165" t="str">
        <f t="shared" si="3"/>
        <v>       玉溪市卫生健康委员会卫生监督局</v>
      </c>
      <c r="B167" s="165" t="s">
        <v>390</v>
      </c>
      <c r="C167" s="165" t="s">
        <v>272</v>
      </c>
      <c r="D167" s="165" t="s">
        <v>137</v>
      </c>
      <c r="E167" s="165" t="s">
        <v>382</v>
      </c>
      <c r="F167" s="165" t="s">
        <v>285</v>
      </c>
      <c r="G167" s="165" t="s">
        <v>286</v>
      </c>
      <c r="H167" s="168">
        <v>30000</v>
      </c>
      <c r="I167" s="65">
        <v>30000</v>
      </c>
      <c r="J167" s="65">
        <v>7500</v>
      </c>
      <c r="K167" s="165"/>
      <c r="L167" s="65">
        <v>22500</v>
      </c>
      <c r="M167" s="165"/>
      <c r="N167" s="65"/>
      <c r="O167" s="65"/>
      <c r="P167" s="165"/>
      <c r="Q167" s="65"/>
      <c r="R167" s="65"/>
      <c r="S167" s="65"/>
      <c r="T167" s="65"/>
      <c r="U167" s="65"/>
      <c r="V167" s="65"/>
      <c r="W167" s="65"/>
    </row>
    <row r="168" ht="20.25" customHeight="true" spans="1:23">
      <c r="A168" s="165" t="str">
        <f t="shared" si="3"/>
        <v>       玉溪市卫生健康委员会卫生监督局</v>
      </c>
      <c r="B168" s="165" t="s">
        <v>390</v>
      </c>
      <c r="C168" s="165" t="s">
        <v>272</v>
      </c>
      <c r="D168" s="165" t="s">
        <v>137</v>
      </c>
      <c r="E168" s="165" t="s">
        <v>382</v>
      </c>
      <c r="F168" s="165" t="s">
        <v>266</v>
      </c>
      <c r="G168" s="165" t="s">
        <v>267</v>
      </c>
      <c r="H168" s="168">
        <v>30000</v>
      </c>
      <c r="I168" s="65">
        <v>30000</v>
      </c>
      <c r="J168" s="65">
        <v>7500</v>
      </c>
      <c r="K168" s="165"/>
      <c r="L168" s="65">
        <v>22500</v>
      </c>
      <c r="M168" s="165"/>
      <c r="N168" s="65"/>
      <c r="O168" s="65"/>
      <c r="P168" s="165"/>
      <c r="Q168" s="65"/>
      <c r="R168" s="65"/>
      <c r="S168" s="65"/>
      <c r="T168" s="65"/>
      <c r="U168" s="65"/>
      <c r="V168" s="65"/>
      <c r="W168" s="65"/>
    </row>
    <row r="169" ht="20.25" customHeight="true" spans="1:23">
      <c r="A169" s="165" t="str">
        <f t="shared" si="3"/>
        <v>       玉溪市卫生健康委员会卫生监督局</v>
      </c>
      <c r="B169" s="165" t="s">
        <v>390</v>
      </c>
      <c r="C169" s="165" t="s">
        <v>272</v>
      </c>
      <c r="D169" s="165" t="s">
        <v>137</v>
      </c>
      <c r="E169" s="165" t="s">
        <v>382</v>
      </c>
      <c r="F169" s="165" t="s">
        <v>273</v>
      </c>
      <c r="G169" s="165" t="s">
        <v>274</v>
      </c>
      <c r="H169" s="168">
        <v>40000</v>
      </c>
      <c r="I169" s="65">
        <v>40000</v>
      </c>
      <c r="J169" s="65">
        <v>10000</v>
      </c>
      <c r="K169" s="165"/>
      <c r="L169" s="65">
        <v>30000</v>
      </c>
      <c r="M169" s="165"/>
      <c r="N169" s="65"/>
      <c r="O169" s="65"/>
      <c r="P169" s="165"/>
      <c r="Q169" s="65"/>
      <c r="R169" s="65"/>
      <c r="S169" s="65"/>
      <c r="T169" s="65"/>
      <c r="U169" s="65"/>
      <c r="V169" s="65"/>
      <c r="W169" s="65"/>
    </row>
    <row r="170" ht="20.25" customHeight="true" spans="1:23">
      <c r="A170" s="165" t="str">
        <f t="shared" si="3"/>
        <v>       玉溪市卫生健康委员会卫生监督局</v>
      </c>
      <c r="B170" s="165" t="s">
        <v>391</v>
      </c>
      <c r="C170" s="165" t="s">
        <v>304</v>
      </c>
      <c r="D170" s="165" t="s">
        <v>137</v>
      </c>
      <c r="E170" s="165" t="s">
        <v>382</v>
      </c>
      <c r="F170" s="165" t="s">
        <v>258</v>
      </c>
      <c r="G170" s="165" t="s">
        <v>259</v>
      </c>
      <c r="H170" s="168">
        <v>121227</v>
      </c>
      <c r="I170" s="65">
        <v>121227</v>
      </c>
      <c r="J170" s="65"/>
      <c r="K170" s="165"/>
      <c r="L170" s="65">
        <v>121227</v>
      </c>
      <c r="M170" s="165"/>
      <c r="N170" s="65"/>
      <c r="O170" s="65"/>
      <c r="P170" s="165"/>
      <c r="Q170" s="65"/>
      <c r="R170" s="65"/>
      <c r="S170" s="65"/>
      <c r="T170" s="65"/>
      <c r="U170" s="65"/>
      <c r="V170" s="65"/>
      <c r="W170" s="65"/>
    </row>
    <row r="171" ht="20.25" customHeight="true" spans="1:23">
      <c r="A171" s="165" t="str">
        <f t="shared" si="3"/>
        <v>       玉溪市卫生健康委员会卫生监督局</v>
      </c>
      <c r="B171" s="165" t="s">
        <v>392</v>
      </c>
      <c r="C171" s="165" t="s">
        <v>393</v>
      </c>
      <c r="D171" s="165" t="s">
        <v>116</v>
      </c>
      <c r="E171" s="165" t="s">
        <v>298</v>
      </c>
      <c r="F171" s="165" t="s">
        <v>299</v>
      </c>
      <c r="G171" s="165" t="s">
        <v>300</v>
      </c>
      <c r="H171" s="168">
        <v>300000</v>
      </c>
      <c r="I171" s="65">
        <v>300000</v>
      </c>
      <c r="J171" s="65"/>
      <c r="K171" s="165"/>
      <c r="L171" s="65">
        <v>300000</v>
      </c>
      <c r="M171" s="165"/>
      <c r="N171" s="65"/>
      <c r="O171" s="65"/>
      <c r="P171" s="165"/>
      <c r="Q171" s="65"/>
      <c r="R171" s="65"/>
      <c r="S171" s="65"/>
      <c r="T171" s="65"/>
      <c r="U171" s="65"/>
      <c r="V171" s="65"/>
      <c r="W171" s="65"/>
    </row>
    <row r="172" ht="20.25" customHeight="true" spans="1:23">
      <c r="A172" s="165" t="str">
        <f t="shared" si="3"/>
        <v>       玉溪市卫生健康委员会卫生监督局</v>
      </c>
      <c r="B172" s="165" t="s">
        <v>394</v>
      </c>
      <c r="C172" s="165" t="s">
        <v>294</v>
      </c>
      <c r="D172" s="165" t="s">
        <v>137</v>
      </c>
      <c r="E172" s="165" t="s">
        <v>382</v>
      </c>
      <c r="F172" s="165" t="s">
        <v>295</v>
      </c>
      <c r="G172" s="165" t="s">
        <v>257</v>
      </c>
      <c r="H172" s="168">
        <v>144000</v>
      </c>
      <c r="I172" s="65">
        <v>144000</v>
      </c>
      <c r="J172" s="65">
        <v>36000</v>
      </c>
      <c r="K172" s="165"/>
      <c r="L172" s="65">
        <v>108000</v>
      </c>
      <c r="M172" s="165"/>
      <c r="N172" s="65"/>
      <c r="O172" s="65"/>
      <c r="P172" s="165"/>
      <c r="Q172" s="65"/>
      <c r="R172" s="65"/>
      <c r="S172" s="65"/>
      <c r="T172" s="65"/>
      <c r="U172" s="65"/>
      <c r="V172" s="65"/>
      <c r="W172" s="65"/>
    </row>
    <row r="173" ht="20.25" customHeight="true" spans="1:23">
      <c r="A173" s="165" t="str">
        <f t="shared" si="3"/>
        <v>       玉溪市卫生健康委员会卫生监督局</v>
      </c>
      <c r="B173" s="165" t="s">
        <v>395</v>
      </c>
      <c r="C173" s="165" t="s">
        <v>302</v>
      </c>
      <c r="D173" s="165" t="s">
        <v>137</v>
      </c>
      <c r="E173" s="165" t="s">
        <v>382</v>
      </c>
      <c r="F173" s="165" t="s">
        <v>283</v>
      </c>
      <c r="G173" s="165" t="s">
        <v>284</v>
      </c>
      <c r="H173" s="168">
        <v>180000</v>
      </c>
      <c r="I173" s="65">
        <v>180000</v>
      </c>
      <c r="J173" s="65"/>
      <c r="K173" s="165"/>
      <c r="L173" s="65">
        <v>180000</v>
      </c>
      <c r="M173" s="165"/>
      <c r="N173" s="65"/>
      <c r="O173" s="65"/>
      <c r="P173" s="165"/>
      <c r="Q173" s="65"/>
      <c r="R173" s="65"/>
      <c r="S173" s="65"/>
      <c r="T173" s="65"/>
      <c r="U173" s="65"/>
      <c r="V173" s="65"/>
      <c r="W173" s="65"/>
    </row>
    <row r="174" ht="20.25" customHeight="true" spans="1:23">
      <c r="A174" s="165" t="str">
        <f t="shared" si="3"/>
        <v>       玉溪市卫生健康委员会卫生监督局</v>
      </c>
      <c r="B174" s="165" t="s">
        <v>396</v>
      </c>
      <c r="C174" s="165" t="s">
        <v>306</v>
      </c>
      <c r="D174" s="165" t="s">
        <v>137</v>
      </c>
      <c r="E174" s="165" t="s">
        <v>382</v>
      </c>
      <c r="F174" s="165" t="s">
        <v>275</v>
      </c>
      <c r="G174" s="165" t="s">
        <v>276</v>
      </c>
      <c r="H174" s="168">
        <v>20000</v>
      </c>
      <c r="I174" s="65">
        <v>20000</v>
      </c>
      <c r="J174" s="65"/>
      <c r="K174" s="165"/>
      <c r="L174" s="65">
        <v>20000</v>
      </c>
      <c r="M174" s="165"/>
      <c r="N174" s="65"/>
      <c r="O174" s="65"/>
      <c r="P174" s="165"/>
      <c r="Q174" s="65"/>
      <c r="R174" s="65"/>
      <c r="S174" s="65"/>
      <c r="T174" s="65"/>
      <c r="U174" s="65"/>
      <c r="V174" s="65"/>
      <c r="W174" s="65"/>
    </row>
    <row r="175" ht="20.25" customHeight="true" spans="1:23">
      <c r="A175" s="165" t="str">
        <f t="shared" si="3"/>
        <v>       玉溪市卫生健康委员会卫生监督局</v>
      </c>
      <c r="B175" s="165" t="s">
        <v>396</v>
      </c>
      <c r="C175" s="165" t="s">
        <v>306</v>
      </c>
      <c r="D175" s="165" t="s">
        <v>137</v>
      </c>
      <c r="E175" s="165" t="s">
        <v>382</v>
      </c>
      <c r="F175" s="165" t="s">
        <v>290</v>
      </c>
      <c r="G175" s="165" t="s">
        <v>193</v>
      </c>
      <c r="H175" s="168">
        <v>10000</v>
      </c>
      <c r="I175" s="65">
        <v>10000</v>
      </c>
      <c r="J175" s="65"/>
      <c r="K175" s="165"/>
      <c r="L175" s="65">
        <v>10000</v>
      </c>
      <c r="M175" s="165"/>
      <c r="N175" s="65"/>
      <c r="O175" s="65"/>
      <c r="P175" s="165"/>
      <c r="Q175" s="65"/>
      <c r="R175" s="65"/>
      <c r="S175" s="65"/>
      <c r="T175" s="65"/>
      <c r="U175" s="65"/>
      <c r="V175" s="65"/>
      <c r="W175" s="65"/>
    </row>
    <row r="176" ht="20.25" customHeight="true" spans="1:23">
      <c r="A176" s="165" t="str">
        <f t="shared" si="3"/>
        <v>       玉溪市卫生健康委员会卫生监督局</v>
      </c>
      <c r="B176" s="165" t="s">
        <v>396</v>
      </c>
      <c r="C176" s="165" t="s">
        <v>306</v>
      </c>
      <c r="D176" s="165" t="s">
        <v>137</v>
      </c>
      <c r="E176" s="165" t="s">
        <v>382</v>
      </c>
      <c r="F176" s="165" t="s">
        <v>283</v>
      </c>
      <c r="G176" s="165" t="s">
        <v>284</v>
      </c>
      <c r="H176" s="168">
        <v>50000</v>
      </c>
      <c r="I176" s="65">
        <v>50000</v>
      </c>
      <c r="J176" s="65"/>
      <c r="K176" s="165"/>
      <c r="L176" s="65">
        <v>50000</v>
      </c>
      <c r="M176" s="165"/>
      <c r="N176" s="65"/>
      <c r="O176" s="65"/>
      <c r="P176" s="165"/>
      <c r="Q176" s="65"/>
      <c r="R176" s="65"/>
      <c r="S176" s="65"/>
      <c r="T176" s="65"/>
      <c r="U176" s="65"/>
      <c r="V176" s="65"/>
      <c r="W176" s="65"/>
    </row>
    <row r="177" ht="20.25" customHeight="true" spans="1:23">
      <c r="A177" s="165" t="str">
        <f t="shared" si="3"/>
        <v>       玉溪市卫生健康委员会卫生监督局</v>
      </c>
      <c r="B177" s="165" t="s">
        <v>396</v>
      </c>
      <c r="C177" s="165" t="s">
        <v>306</v>
      </c>
      <c r="D177" s="165" t="s">
        <v>137</v>
      </c>
      <c r="E177" s="165" t="s">
        <v>382</v>
      </c>
      <c r="F177" s="165" t="s">
        <v>262</v>
      </c>
      <c r="G177" s="165" t="s">
        <v>263</v>
      </c>
      <c r="H177" s="168">
        <v>20000</v>
      </c>
      <c r="I177" s="65">
        <v>20000</v>
      </c>
      <c r="J177" s="65"/>
      <c r="K177" s="165"/>
      <c r="L177" s="65">
        <v>20000</v>
      </c>
      <c r="M177" s="165"/>
      <c r="N177" s="65"/>
      <c r="O177" s="65"/>
      <c r="P177" s="165"/>
      <c r="Q177" s="65"/>
      <c r="R177" s="65"/>
      <c r="S177" s="65"/>
      <c r="T177" s="65"/>
      <c r="U177" s="65"/>
      <c r="V177" s="65"/>
      <c r="W177" s="65"/>
    </row>
    <row r="178" ht="20.25" customHeight="true" spans="1:23">
      <c r="A178" s="171" t="s">
        <v>73</v>
      </c>
      <c r="B178" s="165"/>
      <c r="C178" s="165"/>
      <c r="D178" s="165"/>
      <c r="E178" s="165"/>
      <c r="F178" s="165"/>
      <c r="G178" s="165"/>
      <c r="H178" s="168">
        <v>12459443.79</v>
      </c>
      <c r="I178" s="65">
        <v>8431243.79</v>
      </c>
      <c r="J178" s="65">
        <v>3862774.5</v>
      </c>
      <c r="K178" s="165"/>
      <c r="L178" s="65">
        <v>4568469.29</v>
      </c>
      <c r="M178" s="165"/>
      <c r="N178" s="65"/>
      <c r="O178" s="65"/>
      <c r="P178" s="165"/>
      <c r="Q178" s="65"/>
      <c r="R178" s="65">
        <v>4028200</v>
      </c>
      <c r="S178" s="65">
        <v>4028200</v>
      </c>
      <c r="T178" s="65"/>
      <c r="U178" s="65"/>
      <c r="V178" s="65"/>
      <c r="W178" s="65"/>
    </row>
    <row r="179" ht="20.25" customHeight="true" spans="1:23">
      <c r="A179" s="165" t="str">
        <f t="shared" ref="A179:A211" si="4">"       "&amp;"玉溪市中心血站"</f>
        <v>       玉溪市中心血站</v>
      </c>
      <c r="B179" s="165" t="s">
        <v>397</v>
      </c>
      <c r="C179" s="165" t="s">
        <v>225</v>
      </c>
      <c r="D179" s="165" t="s">
        <v>140</v>
      </c>
      <c r="E179" s="165" t="s">
        <v>398</v>
      </c>
      <c r="F179" s="165" t="s">
        <v>219</v>
      </c>
      <c r="G179" s="165" t="s">
        <v>220</v>
      </c>
      <c r="H179" s="168">
        <v>1612680</v>
      </c>
      <c r="I179" s="65">
        <v>1612680</v>
      </c>
      <c r="J179" s="65">
        <v>705547.5</v>
      </c>
      <c r="K179" s="165"/>
      <c r="L179" s="65">
        <v>907132.5</v>
      </c>
      <c r="M179" s="165"/>
      <c r="N179" s="65"/>
      <c r="O179" s="65"/>
      <c r="P179" s="165"/>
      <c r="Q179" s="65"/>
      <c r="R179" s="65"/>
      <c r="S179" s="65"/>
      <c r="T179" s="65"/>
      <c r="U179" s="65"/>
      <c r="V179" s="65"/>
      <c r="W179" s="65"/>
    </row>
    <row r="180" ht="20.25" customHeight="true" spans="1:23">
      <c r="A180" s="165" t="str">
        <f t="shared" si="4"/>
        <v>       玉溪市中心血站</v>
      </c>
      <c r="B180" s="165" t="s">
        <v>397</v>
      </c>
      <c r="C180" s="165" t="s">
        <v>225</v>
      </c>
      <c r="D180" s="165" t="s">
        <v>140</v>
      </c>
      <c r="E180" s="165" t="s">
        <v>398</v>
      </c>
      <c r="F180" s="165" t="s">
        <v>221</v>
      </c>
      <c r="G180" s="165" t="s">
        <v>222</v>
      </c>
      <c r="H180" s="168">
        <v>81576</v>
      </c>
      <c r="I180" s="65">
        <v>81576</v>
      </c>
      <c r="J180" s="65">
        <v>35689.5</v>
      </c>
      <c r="K180" s="165"/>
      <c r="L180" s="65">
        <v>45886.5</v>
      </c>
      <c r="M180" s="165"/>
      <c r="N180" s="65"/>
      <c r="O180" s="65"/>
      <c r="P180" s="165"/>
      <c r="Q180" s="65"/>
      <c r="R180" s="65"/>
      <c r="S180" s="65"/>
      <c r="T180" s="65"/>
      <c r="U180" s="65"/>
      <c r="V180" s="65"/>
      <c r="W180" s="65"/>
    </row>
    <row r="181" ht="20.25" customHeight="true" spans="1:23">
      <c r="A181" s="165" t="str">
        <f t="shared" si="4"/>
        <v>       玉溪市中心血站</v>
      </c>
      <c r="B181" s="165" t="s">
        <v>397</v>
      </c>
      <c r="C181" s="165" t="s">
        <v>225</v>
      </c>
      <c r="D181" s="165" t="s">
        <v>140</v>
      </c>
      <c r="E181" s="165" t="s">
        <v>398</v>
      </c>
      <c r="F181" s="165" t="s">
        <v>227</v>
      </c>
      <c r="G181" s="165" t="s">
        <v>228</v>
      </c>
      <c r="H181" s="168">
        <v>509760</v>
      </c>
      <c r="I181" s="65">
        <v>509760</v>
      </c>
      <c r="J181" s="65">
        <v>223020</v>
      </c>
      <c r="K181" s="165"/>
      <c r="L181" s="65">
        <v>286740</v>
      </c>
      <c r="M181" s="165"/>
      <c r="N181" s="65"/>
      <c r="O181" s="65"/>
      <c r="P181" s="165"/>
      <c r="Q181" s="65"/>
      <c r="R181" s="65"/>
      <c r="S181" s="65"/>
      <c r="T181" s="65"/>
      <c r="U181" s="65"/>
      <c r="V181" s="65"/>
      <c r="W181" s="65"/>
    </row>
    <row r="182" ht="20.25" customHeight="true" spans="1:23">
      <c r="A182" s="165" t="str">
        <f t="shared" si="4"/>
        <v>       玉溪市中心血站</v>
      </c>
      <c r="B182" s="165" t="s">
        <v>397</v>
      </c>
      <c r="C182" s="165" t="s">
        <v>225</v>
      </c>
      <c r="D182" s="165" t="s">
        <v>161</v>
      </c>
      <c r="E182" s="165" t="s">
        <v>223</v>
      </c>
      <c r="F182" s="165" t="s">
        <v>221</v>
      </c>
      <c r="G182" s="165" t="s">
        <v>222</v>
      </c>
      <c r="H182" s="168">
        <v>47040</v>
      </c>
      <c r="I182" s="65">
        <v>47040</v>
      </c>
      <c r="J182" s="65"/>
      <c r="K182" s="165"/>
      <c r="L182" s="65">
        <v>47040</v>
      </c>
      <c r="M182" s="165"/>
      <c r="N182" s="65"/>
      <c r="O182" s="65"/>
      <c r="P182" s="165"/>
      <c r="Q182" s="65"/>
      <c r="R182" s="65"/>
      <c r="S182" s="65"/>
      <c r="T182" s="65"/>
      <c r="U182" s="65"/>
      <c r="V182" s="65"/>
      <c r="W182" s="65"/>
    </row>
    <row r="183" ht="31" customHeight="true" spans="1:23">
      <c r="A183" s="165" t="str">
        <f t="shared" si="4"/>
        <v>       玉溪市中心血站</v>
      </c>
      <c r="B183" s="165" t="s">
        <v>399</v>
      </c>
      <c r="C183" s="165" t="s">
        <v>230</v>
      </c>
      <c r="D183" s="165" t="s">
        <v>115</v>
      </c>
      <c r="E183" s="165" t="s">
        <v>231</v>
      </c>
      <c r="F183" s="165" t="s">
        <v>232</v>
      </c>
      <c r="G183" s="165" t="s">
        <v>233</v>
      </c>
      <c r="H183" s="168">
        <v>540576</v>
      </c>
      <c r="I183" s="65">
        <v>540576</v>
      </c>
      <c r="J183" s="65">
        <v>135144</v>
      </c>
      <c r="K183" s="165"/>
      <c r="L183" s="65">
        <v>405432</v>
      </c>
      <c r="M183" s="165"/>
      <c r="N183" s="65"/>
      <c r="O183" s="65"/>
      <c r="P183" s="165"/>
      <c r="Q183" s="65"/>
      <c r="R183" s="65"/>
      <c r="S183" s="65"/>
      <c r="T183" s="65"/>
      <c r="U183" s="65"/>
      <c r="V183" s="65"/>
      <c r="W183" s="65"/>
    </row>
    <row r="184" ht="20.25" customHeight="true" spans="1:23">
      <c r="A184" s="165" t="str">
        <f t="shared" si="4"/>
        <v>       玉溪市中心血站</v>
      </c>
      <c r="B184" s="165" t="s">
        <v>399</v>
      </c>
      <c r="C184" s="165" t="s">
        <v>230</v>
      </c>
      <c r="D184" s="165" t="s">
        <v>140</v>
      </c>
      <c r="E184" s="165" t="s">
        <v>398</v>
      </c>
      <c r="F184" s="165" t="s">
        <v>234</v>
      </c>
      <c r="G184" s="165" t="s">
        <v>235</v>
      </c>
      <c r="H184" s="168">
        <v>24590.93</v>
      </c>
      <c r="I184" s="65">
        <v>24590.93</v>
      </c>
      <c r="J184" s="65">
        <v>6147.73</v>
      </c>
      <c r="K184" s="165"/>
      <c r="L184" s="65">
        <v>18443.2</v>
      </c>
      <c r="M184" s="165"/>
      <c r="N184" s="65"/>
      <c r="O184" s="65"/>
      <c r="P184" s="165"/>
      <c r="Q184" s="65"/>
      <c r="R184" s="65"/>
      <c r="S184" s="65"/>
      <c r="T184" s="65"/>
      <c r="U184" s="65"/>
      <c r="V184" s="65"/>
      <c r="W184" s="65"/>
    </row>
    <row r="185" ht="20.25" customHeight="true" spans="1:23">
      <c r="A185" s="165" t="str">
        <f t="shared" si="4"/>
        <v>       玉溪市中心血站</v>
      </c>
      <c r="B185" s="165" t="s">
        <v>399</v>
      </c>
      <c r="C185" s="165" t="s">
        <v>230</v>
      </c>
      <c r="D185" s="165" t="s">
        <v>148</v>
      </c>
      <c r="E185" s="165" t="s">
        <v>241</v>
      </c>
      <c r="F185" s="165" t="s">
        <v>237</v>
      </c>
      <c r="G185" s="165" t="s">
        <v>238</v>
      </c>
      <c r="H185" s="168">
        <v>280423.8</v>
      </c>
      <c r="I185" s="65">
        <v>280423.8</v>
      </c>
      <c r="J185" s="65">
        <v>70105.95</v>
      </c>
      <c r="K185" s="165"/>
      <c r="L185" s="65">
        <v>210317.85</v>
      </c>
      <c r="M185" s="165"/>
      <c r="N185" s="65"/>
      <c r="O185" s="65"/>
      <c r="P185" s="165"/>
      <c r="Q185" s="65"/>
      <c r="R185" s="65"/>
      <c r="S185" s="65"/>
      <c r="T185" s="65"/>
      <c r="U185" s="65"/>
      <c r="V185" s="65"/>
      <c r="W185" s="65"/>
    </row>
    <row r="186" ht="20.25" customHeight="true" spans="1:23">
      <c r="A186" s="165" t="str">
        <f t="shared" si="4"/>
        <v>       玉溪市中心血站</v>
      </c>
      <c r="B186" s="165" t="s">
        <v>399</v>
      </c>
      <c r="C186" s="165" t="s">
        <v>230</v>
      </c>
      <c r="D186" s="165" t="s">
        <v>149</v>
      </c>
      <c r="E186" s="165" t="s">
        <v>242</v>
      </c>
      <c r="F186" s="165" t="s">
        <v>243</v>
      </c>
      <c r="G186" s="165" t="s">
        <v>244</v>
      </c>
      <c r="H186" s="168">
        <v>212130</v>
      </c>
      <c r="I186" s="65">
        <v>212130</v>
      </c>
      <c r="J186" s="65">
        <v>53032.5</v>
      </c>
      <c r="K186" s="165"/>
      <c r="L186" s="65">
        <v>159097.5</v>
      </c>
      <c r="M186" s="165"/>
      <c r="N186" s="65"/>
      <c r="O186" s="65"/>
      <c r="P186" s="165"/>
      <c r="Q186" s="65"/>
      <c r="R186" s="65"/>
      <c r="S186" s="65"/>
      <c r="T186" s="65"/>
      <c r="U186" s="65"/>
      <c r="V186" s="65"/>
      <c r="W186" s="65"/>
    </row>
    <row r="187" ht="20.25" customHeight="true" spans="1:23">
      <c r="A187" s="165" t="str">
        <f t="shared" si="4"/>
        <v>       玉溪市中心血站</v>
      </c>
      <c r="B187" s="165" t="s">
        <v>399</v>
      </c>
      <c r="C187" s="165" t="s">
        <v>230</v>
      </c>
      <c r="D187" s="165" t="s">
        <v>150</v>
      </c>
      <c r="E187" s="165" t="s">
        <v>245</v>
      </c>
      <c r="F187" s="165" t="s">
        <v>234</v>
      </c>
      <c r="G187" s="165" t="s">
        <v>235</v>
      </c>
      <c r="H187" s="168">
        <v>31740.26</v>
      </c>
      <c r="I187" s="65">
        <v>31740.26</v>
      </c>
      <c r="J187" s="65">
        <v>21351.07</v>
      </c>
      <c r="K187" s="165"/>
      <c r="L187" s="65">
        <v>10389.19</v>
      </c>
      <c r="M187" s="165"/>
      <c r="N187" s="65"/>
      <c r="O187" s="65"/>
      <c r="P187" s="165"/>
      <c r="Q187" s="65"/>
      <c r="R187" s="65"/>
      <c r="S187" s="65"/>
      <c r="T187" s="65"/>
      <c r="U187" s="65"/>
      <c r="V187" s="65"/>
      <c r="W187" s="65"/>
    </row>
    <row r="188" ht="20.25" customHeight="true" spans="1:23">
      <c r="A188" s="165" t="str">
        <f t="shared" si="4"/>
        <v>       玉溪市中心血站</v>
      </c>
      <c r="B188" s="165" t="s">
        <v>400</v>
      </c>
      <c r="C188" s="165" t="s">
        <v>247</v>
      </c>
      <c r="D188" s="165" t="s">
        <v>160</v>
      </c>
      <c r="E188" s="165" t="s">
        <v>247</v>
      </c>
      <c r="F188" s="165" t="s">
        <v>248</v>
      </c>
      <c r="G188" s="165" t="s">
        <v>247</v>
      </c>
      <c r="H188" s="168">
        <v>553236</v>
      </c>
      <c r="I188" s="65">
        <v>553236</v>
      </c>
      <c r="J188" s="65">
        <v>138309</v>
      </c>
      <c r="K188" s="165"/>
      <c r="L188" s="65">
        <v>414927</v>
      </c>
      <c r="M188" s="165"/>
      <c r="N188" s="65"/>
      <c r="O188" s="65"/>
      <c r="P188" s="165"/>
      <c r="Q188" s="65"/>
      <c r="R188" s="65"/>
      <c r="S188" s="65"/>
      <c r="T188" s="65"/>
      <c r="U188" s="65"/>
      <c r="V188" s="65"/>
      <c r="W188" s="65"/>
    </row>
    <row r="189" ht="20.25" customHeight="true" spans="1:23">
      <c r="A189" s="165" t="str">
        <f t="shared" si="4"/>
        <v>       玉溪市中心血站</v>
      </c>
      <c r="B189" s="165" t="s">
        <v>401</v>
      </c>
      <c r="C189" s="165" t="s">
        <v>250</v>
      </c>
      <c r="D189" s="165" t="s">
        <v>114</v>
      </c>
      <c r="E189" s="165" t="s">
        <v>337</v>
      </c>
      <c r="F189" s="165" t="s">
        <v>254</v>
      </c>
      <c r="G189" s="165" t="s">
        <v>255</v>
      </c>
      <c r="H189" s="168">
        <v>316800</v>
      </c>
      <c r="I189" s="65">
        <v>316800</v>
      </c>
      <c r="J189" s="65">
        <v>316800</v>
      </c>
      <c r="K189" s="165"/>
      <c r="L189" s="65"/>
      <c r="M189" s="165"/>
      <c r="N189" s="65"/>
      <c r="O189" s="65"/>
      <c r="P189" s="165"/>
      <c r="Q189" s="65"/>
      <c r="R189" s="65"/>
      <c r="S189" s="65"/>
      <c r="T189" s="65"/>
      <c r="U189" s="65"/>
      <c r="V189" s="65"/>
      <c r="W189" s="65"/>
    </row>
    <row r="190" ht="20.25" customHeight="true" spans="1:23">
      <c r="A190" s="165" t="str">
        <f t="shared" si="4"/>
        <v>       玉溪市中心血站</v>
      </c>
      <c r="B190" s="165" t="s">
        <v>402</v>
      </c>
      <c r="C190" s="165" t="s">
        <v>261</v>
      </c>
      <c r="D190" s="165" t="s">
        <v>140</v>
      </c>
      <c r="E190" s="165" t="s">
        <v>398</v>
      </c>
      <c r="F190" s="165" t="s">
        <v>262</v>
      </c>
      <c r="G190" s="165" t="s">
        <v>263</v>
      </c>
      <c r="H190" s="168">
        <v>104800</v>
      </c>
      <c r="I190" s="65">
        <v>104800</v>
      </c>
      <c r="J190" s="65"/>
      <c r="K190" s="165"/>
      <c r="L190" s="65">
        <v>104800</v>
      </c>
      <c r="M190" s="165"/>
      <c r="N190" s="65"/>
      <c r="O190" s="65"/>
      <c r="P190" s="165"/>
      <c r="Q190" s="65"/>
      <c r="R190" s="65"/>
      <c r="S190" s="65"/>
      <c r="T190" s="65"/>
      <c r="U190" s="65"/>
      <c r="V190" s="65"/>
      <c r="W190" s="65"/>
    </row>
    <row r="191" ht="20.25" customHeight="true" spans="1:23">
      <c r="A191" s="165" t="str">
        <f t="shared" si="4"/>
        <v>       玉溪市中心血站</v>
      </c>
      <c r="B191" s="165" t="s">
        <v>403</v>
      </c>
      <c r="C191" s="165" t="s">
        <v>269</v>
      </c>
      <c r="D191" s="165" t="s">
        <v>140</v>
      </c>
      <c r="E191" s="165" t="s">
        <v>398</v>
      </c>
      <c r="F191" s="165" t="s">
        <v>270</v>
      </c>
      <c r="G191" s="165" t="s">
        <v>269</v>
      </c>
      <c r="H191" s="168">
        <v>70466.88</v>
      </c>
      <c r="I191" s="65">
        <v>70466.88</v>
      </c>
      <c r="J191" s="65"/>
      <c r="K191" s="165"/>
      <c r="L191" s="65">
        <v>70466.88</v>
      </c>
      <c r="M191" s="165"/>
      <c r="N191" s="65"/>
      <c r="O191" s="65"/>
      <c r="P191" s="165"/>
      <c r="Q191" s="65"/>
      <c r="R191" s="65"/>
      <c r="S191" s="65"/>
      <c r="T191" s="65"/>
      <c r="U191" s="65"/>
      <c r="V191" s="65"/>
      <c r="W191" s="65"/>
    </row>
    <row r="192" ht="20.25" customHeight="true" spans="1:23">
      <c r="A192" s="165" t="str">
        <f t="shared" si="4"/>
        <v>       玉溪市中心血站</v>
      </c>
      <c r="B192" s="165" t="s">
        <v>404</v>
      </c>
      <c r="C192" s="165" t="s">
        <v>272</v>
      </c>
      <c r="D192" s="165" t="s">
        <v>114</v>
      </c>
      <c r="E192" s="165" t="s">
        <v>337</v>
      </c>
      <c r="F192" s="165" t="s">
        <v>273</v>
      </c>
      <c r="G192" s="165" t="s">
        <v>274</v>
      </c>
      <c r="H192" s="168">
        <v>7200</v>
      </c>
      <c r="I192" s="65">
        <v>7200</v>
      </c>
      <c r="J192" s="65">
        <v>7200</v>
      </c>
      <c r="K192" s="165"/>
      <c r="L192" s="65"/>
      <c r="M192" s="165"/>
      <c r="N192" s="65"/>
      <c r="O192" s="65"/>
      <c r="P192" s="165"/>
      <c r="Q192" s="65"/>
      <c r="R192" s="65"/>
      <c r="S192" s="65"/>
      <c r="T192" s="65"/>
      <c r="U192" s="65"/>
      <c r="V192" s="65"/>
      <c r="W192" s="65"/>
    </row>
    <row r="193" ht="20.25" customHeight="true" spans="1:23">
      <c r="A193" s="165" t="str">
        <f t="shared" si="4"/>
        <v>       玉溪市中心血站</v>
      </c>
      <c r="B193" s="165" t="s">
        <v>404</v>
      </c>
      <c r="C193" s="165" t="s">
        <v>272</v>
      </c>
      <c r="D193" s="165" t="s">
        <v>140</v>
      </c>
      <c r="E193" s="165" t="s">
        <v>398</v>
      </c>
      <c r="F193" s="165" t="s">
        <v>275</v>
      </c>
      <c r="G193" s="165" t="s">
        <v>276</v>
      </c>
      <c r="H193" s="168">
        <v>81000</v>
      </c>
      <c r="I193" s="65">
        <v>81000</v>
      </c>
      <c r="J193" s="65">
        <v>18077.25</v>
      </c>
      <c r="K193" s="165"/>
      <c r="L193" s="65">
        <v>62922.75</v>
      </c>
      <c r="M193" s="165"/>
      <c r="N193" s="65"/>
      <c r="O193" s="65"/>
      <c r="P193" s="165"/>
      <c r="Q193" s="65"/>
      <c r="R193" s="65"/>
      <c r="S193" s="65"/>
      <c r="T193" s="65"/>
      <c r="U193" s="65"/>
      <c r="V193" s="65"/>
      <c r="W193" s="65"/>
    </row>
    <row r="194" ht="20.25" customHeight="true" spans="1:23">
      <c r="A194" s="165" t="str">
        <f t="shared" si="4"/>
        <v>       玉溪市中心血站</v>
      </c>
      <c r="B194" s="165" t="s">
        <v>404</v>
      </c>
      <c r="C194" s="165" t="s">
        <v>272</v>
      </c>
      <c r="D194" s="165" t="s">
        <v>140</v>
      </c>
      <c r="E194" s="165" t="s">
        <v>398</v>
      </c>
      <c r="F194" s="165" t="s">
        <v>312</v>
      </c>
      <c r="G194" s="165" t="s">
        <v>313</v>
      </c>
      <c r="H194" s="168">
        <v>40000</v>
      </c>
      <c r="I194" s="65">
        <v>40000</v>
      </c>
      <c r="J194" s="65">
        <v>10000</v>
      </c>
      <c r="K194" s="165"/>
      <c r="L194" s="65">
        <v>30000</v>
      </c>
      <c r="M194" s="165"/>
      <c r="N194" s="65"/>
      <c r="O194" s="65"/>
      <c r="P194" s="165"/>
      <c r="Q194" s="65"/>
      <c r="R194" s="65"/>
      <c r="S194" s="65"/>
      <c r="T194" s="65"/>
      <c r="U194" s="65"/>
      <c r="V194" s="65"/>
      <c r="W194" s="65"/>
    </row>
    <row r="195" ht="20.25" customHeight="true" spans="1:23">
      <c r="A195" s="165" t="str">
        <f t="shared" si="4"/>
        <v>       玉溪市中心血站</v>
      </c>
      <c r="B195" s="165" t="s">
        <v>404</v>
      </c>
      <c r="C195" s="165" t="s">
        <v>272</v>
      </c>
      <c r="D195" s="165" t="s">
        <v>140</v>
      </c>
      <c r="E195" s="165" t="s">
        <v>398</v>
      </c>
      <c r="F195" s="165" t="s">
        <v>277</v>
      </c>
      <c r="G195" s="165" t="s">
        <v>278</v>
      </c>
      <c r="H195" s="168">
        <v>50000</v>
      </c>
      <c r="I195" s="65">
        <v>50000</v>
      </c>
      <c r="J195" s="65">
        <v>12500</v>
      </c>
      <c r="K195" s="165"/>
      <c r="L195" s="65">
        <v>37500</v>
      </c>
      <c r="M195" s="165"/>
      <c r="N195" s="65"/>
      <c r="O195" s="65"/>
      <c r="P195" s="165"/>
      <c r="Q195" s="65"/>
      <c r="R195" s="65"/>
      <c r="S195" s="65"/>
      <c r="T195" s="65"/>
      <c r="U195" s="65"/>
      <c r="V195" s="65"/>
      <c r="W195" s="65"/>
    </row>
    <row r="196" ht="20.25" customHeight="true" spans="1:23">
      <c r="A196" s="165" t="str">
        <f t="shared" si="4"/>
        <v>       玉溪市中心血站</v>
      </c>
      <c r="B196" s="165" t="s">
        <v>404</v>
      </c>
      <c r="C196" s="165" t="s">
        <v>272</v>
      </c>
      <c r="D196" s="165" t="s">
        <v>140</v>
      </c>
      <c r="E196" s="165" t="s">
        <v>398</v>
      </c>
      <c r="F196" s="165" t="s">
        <v>314</v>
      </c>
      <c r="G196" s="165" t="s">
        <v>315</v>
      </c>
      <c r="H196" s="168">
        <v>100000</v>
      </c>
      <c r="I196" s="65">
        <v>100000</v>
      </c>
      <c r="J196" s="65">
        <v>25000</v>
      </c>
      <c r="K196" s="165"/>
      <c r="L196" s="65">
        <v>75000</v>
      </c>
      <c r="M196" s="165"/>
      <c r="N196" s="65"/>
      <c r="O196" s="65"/>
      <c r="P196" s="165"/>
      <c r="Q196" s="65"/>
      <c r="R196" s="65"/>
      <c r="S196" s="65"/>
      <c r="T196" s="65"/>
      <c r="U196" s="65"/>
      <c r="V196" s="65"/>
      <c r="W196" s="65"/>
    </row>
    <row r="197" ht="20.25" customHeight="true" spans="1:23">
      <c r="A197" s="165" t="str">
        <f t="shared" si="4"/>
        <v>       玉溪市中心血站</v>
      </c>
      <c r="B197" s="165" t="s">
        <v>404</v>
      </c>
      <c r="C197" s="165" t="s">
        <v>272</v>
      </c>
      <c r="D197" s="165" t="s">
        <v>140</v>
      </c>
      <c r="E197" s="165" t="s">
        <v>398</v>
      </c>
      <c r="F197" s="165" t="s">
        <v>285</v>
      </c>
      <c r="G197" s="165" t="s">
        <v>286</v>
      </c>
      <c r="H197" s="168">
        <v>40000</v>
      </c>
      <c r="I197" s="65">
        <v>40000</v>
      </c>
      <c r="J197" s="65">
        <v>10000</v>
      </c>
      <c r="K197" s="165"/>
      <c r="L197" s="65">
        <v>30000</v>
      </c>
      <c r="M197" s="165"/>
      <c r="N197" s="65"/>
      <c r="O197" s="65"/>
      <c r="P197" s="165"/>
      <c r="Q197" s="65"/>
      <c r="R197" s="65"/>
      <c r="S197" s="65"/>
      <c r="T197" s="65"/>
      <c r="U197" s="65"/>
      <c r="V197" s="65"/>
      <c r="W197" s="65"/>
    </row>
    <row r="198" ht="20.25" customHeight="true" spans="1:23">
      <c r="A198" s="165" t="str">
        <f t="shared" si="4"/>
        <v>       玉溪市中心血站</v>
      </c>
      <c r="B198" s="165" t="s">
        <v>404</v>
      </c>
      <c r="C198" s="165" t="s">
        <v>272</v>
      </c>
      <c r="D198" s="165" t="s">
        <v>140</v>
      </c>
      <c r="E198" s="165" t="s">
        <v>398</v>
      </c>
      <c r="F198" s="165" t="s">
        <v>273</v>
      </c>
      <c r="G198" s="165" t="s">
        <v>274</v>
      </c>
      <c r="H198" s="168">
        <v>125000</v>
      </c>
      <c r="I198" s="65">
        <v>125000</v>
      </c>
      <c r="J198" s="65">
        <v>31250</v>
      </c>
      <c r="K198" s="165"/>
      <c r="L198" s="65">
        <v>93750</v>
      </c>
      <c r="M198" s="165"/>
      <c r="N198" s="65"/>
      <c r="O198" s="65"/>
      <c r="P198" s="165"/>
      <c r="Q198" s="65"/>
      <c r="R198" s="65"/>
      <c r="S198" s="65"/>
      <c r="T198" s="65"/>
      <c r="U198" s="65"/>
      <c r="V198" s="65"/>
      <c r="W198" s="65"/>
    </row>
    <row r="199" ht="20.25" customHeight="true" spans="1:23">
      <c r="A199" s="165" t="str">
        <f t="shared" si="4"/>
        <v>       玉溪市中心血站</v>
      </c>
      <c r="B199" s="165" t="s">
        <v>405</v>
      </c>
      <c r="C199" s="165" t="s">
        <v>193</v>
      </c>
      <c r="D199" s="165" t="s">
        <v>140</v>
      </c>
      <c r="E199" s="165" t="s">
        <v>398</v>
      </c>
      <c r="F199" s="165" t="s">
        <v>290</v>
      </c>
      <c r="G199" s="165" t="s">
        <v>193</v>
      </c>
      <c r="H199" s="168">
        <v>12000</v>
      </c>
      <c r="I199" s="65">
        <v>12000</v>
      </c>
      <c r="J199" s="65"/>
      <c r="K199" s="165"/>
      <c r="L199" s="65">
        <v>12000</v>
      </c>
      <c r="M199" s="165"/>
      <c r="N199" s="65"/>
      <c r="O199" s="65"/>
      <c r="P199" s="165"/>
      <c r="Q199" s="65"/>
      <c r="R199" s="65"/>
      <c r="S199" s="65"/>
      <c r="T199" s="65"/>
      <c r="U199" s="65"/>
      <c r="V199" s="65"/>
      <c r="W199" s="65"/>
    </row>
    <row r="200" ht="20.25" customHeight="true" spans="1:23">
      <c r="A200" s="165" t="str">
        <f t="shared" si="4"/>
        <v>       玉溪市中心血站</v>
      </c>
      <c r="B200" s="165" t="s">
        <v>406</v>
      </c>
      <c r="C200" s="165" t="s">
        <v>344</v>
      </c>
      <c r="D200" s="165" t="s">
        <v>140</v>
      </c>
      <c r="E200" s="165" t="s">
        <v>398</v>
      </c>
      <c r="F200" s="165" t="s">
        <v>234</v>
      </c>
      <c r="G200" s="165" t="s">
        <v>235</v>
      </c>
      <c r="H200" s="168">
        <v>12000</v>
      </c>
      <c r="I200" s="65">
        <v>12000</v>
      </c>
      <c r="J200" s="65"/>
      <c r="K200" s="165"/>
      <c r="L200" s="65">
        <v>12000</v>
      </c>
      <c r="M200" s="165"/>
      <c r="N200" s="65"/>
      <c r="O200" s="65"/>
      <c r="P200" s="165"/>
      <c r="Q200" s="65"/>
      <c r="R200" s="65"/>
      <c r="S200" s="65"/>
      <c r="T200" s="65"/>
      <c r="U200" s="65"/>
      <c r="V200" s="65"/>
      <c r="W200" s="65"/>
    </row>
    <row r="201" ht="20.25" customHeight="true" spans="1:23">
      <c r="A201" s="165" t="str">
        <f t="shared" si="4"/>
        <v>       玉溪市中心血站</v>
      </c>
      <c r="B201" s="165" t="s">
        <v>407</v>
      </c>
      <c r="C201" s="165" t="s">
        <v>319</v>
      </c>
      <c r="D201" s="165" t="s">
        <v>140</v>
      </c>
      <c r="E201" s="165" t="s">
        <v>398</v>
      </c>
      <c r="F201" s="165" t="s">
        <v>262</v>
      </c>
      <c r="G201" s="165" t="s">
        <v>263</v>
      </c>
      <c r="H201" s="168">
        <v>125000</v>
      </c>
      <c r="I201" s="65">
        <v>125000</v>
      </c>
      <c r="J201" s="65"/>
      <c r="K201" s="165"/>
      <c r="L201" s="65">
        <v>125000</v>
      </c>
      <c r="M201" s="165"/>
      <c r="N201" s="65"/>
      <c r="O201" s="65"/>
      <c r="P201" s="165"/>
      <c r="Q201" s="65"/>
      <c r="R201" s="65"/>
      <c r="S201" s="65"/>
      <c r="T201" s="65"/>
      <c r="U201" s="65"/>
      <c r="V201" s="65"/>
      <c r="W201" s="65"/>
    </row>
    <row r="202" ht="20.25" customHeight="true" spans="1:23">
      <c r="A202" s="165" t="str">
        <f t="shared" si="4"/>
        <v>       玉溪市中心血站</v>
      </c>
      <c r="B202" s="165" t="s">
        <v>408</v>
      </c>
      <c r="C202" s="165" t="s">
        <v>306</v>
      </c>
      <c r="D202" s="165" t="s">
        <v>140</v>
      </c>
      <c r="E202" s="165" t="s">
        <v>398</v>
      </c>
      <c r="F202" s="165" t="s">
        <v>273</v>
      </c>
      <c r="G202" s="165" t="s">
        <v>274</v>
      </c>
      <c r="H202" s="168">
        <v>7623.92</v>
      </c>
      <c r="I202" s="65">
        <v>7623.92</v>
      </c>
      <c r="J202" s="65"/>
      <c r="K202" s="165"/>
      <c r="L202" s="65">
        <v>7623.92</v>
      </c>
      <c r="M202" s="165"/>
      <c r="N202" s="65"/>
      <c r="O202" s="65"/>
      <c r="P202" s="165"/>
      <c r="Q202" s="65"/>
      <c r="R202" s="65"/>
      <c r="S202" s="65"/>
      <c r="T202" s="65"/>
      <c r="U202" s="65"/>
      <c r="V202" s="65"/>
      <c r="W202" s="65"/>
    </row>
    <row r="203" ht="20.25" customHeight="true" spans="1:23">
      <c r="A203" s="165" t="str">
        <f t="shared" si="4"/>
        <v>       玉溪市中心血站</v>
      </c>
      <c r="B203" s="165" t="s">
        <v>409</v>
      </c>
      <c r="C203" s="165" t="s">
        <v>294</v>
      </c>
      <c r="D203" s="165" t="s">
        <v>140</v>
      </c>
      <c r="E203" s="165" t="s">
        <v>398</v>
      </c>
      <c r="F203" s="165" t="s">
        <v>295</v>
      </c>
      <c r="G203" s="165" t="s">
        <v>257</v>
      </c>
      <c r="H203" s="168">
        <v>1513200</v>
      </c>
      <c r="I203" s="65"/>
      <c r="J203" s="65"/>
      <c r="K203" s="165"/>
      <c r="L203" s="65"/>
      <c r="M203" s="165"/>
      <c r="N203" s="65"/>
      <c r="O203" s="65"/>
      <c r="P203" s="165"/>
      <c r="Q203" s="65"/>
      <c r="R203" s="65">
        <v>1513200</v>
      </c>
      <c r="S203" s="65">
        <v>1513200</v>
      </c>
      <c r="T203" s="65"/>
      <c r="U203" s="65"/>
      <c r="V203" s="65"/>
      <c r="W203" s="65"/>
    </row>
    <row r="204" ht="20.25" customHeight="true" spans="1:23">
      <c r="A204" s="165" t="str">
        <f t="shared" si="4"/>
        <v>       玉溪市中心血站</v>
      </c>
      <c r="B204" s="165" t="s">
        <v>410</v>
      </c>
      <c r="C204" s="165" t="s">
        <v>292</v>
      </c>
      <c r="D204" s="165" t="s">
        <v>140</v>
      </c>
      <c r="E204" s="165" t="s">
        <v>398</v>
      </c>
      <c r="F204" s="165" t="s">
        <v>227</v>
      </c>
      <c r="G204" s="165" t="s">
        <v>228</v>
      </c>
      <c r="H204" s="168">
        <v>2043600</v>
      </c>
      <c r="I204" s="65">
        <v>2043600</v>
      </c>
      <c r="J204" s="65">
        <v>2043600</v>
      </c>
      <c r="K204" s="165"/>
      <c r="L204" s="65"/>
      <c r="M204" s="165"/>
      <c r="N204" s="65"/>
      <c r="O204" s="65"/>
      <c r="P204" s="165"/>
      <c r="Q204" s="65"/>
      <c r="R204" s="65"/>
      <c r="S204" s="65"/>
      <c r="T204" s="65"/>
      <c r="U204" s="65"/>
      <c r="V204" s="65"/>
      <c r="W204" s="65"/>
    </row>
    <row r="205" ht="20.25" customHeight="true" spans="1:23">
      <c r="A205" s="165" t="str">
        <f t="shared" si="4"/>
        <v>       玉溪市中心血站</v>
      </c>
      <c r="B205" s="165" t="s">
        <v>411</v>
      </c>
      <c r="C205" s="165" t="s">
        <v>325</v>
      </c>
      <c r="D205" s="165" t="s">
        <v>140</v>
      </c>
      <c r="E205" s="165" t="s">
        <v>398</v>
      </c>
      <c r="F205" s="165" t="s">
        <v>227</v>
      </c>
      <c r="G205" s="165" t="s">
        <v>228</v>
      </c>
      <c r="H205" s="168">
        <v>975000</v>
      </c>
      <c r="I205" s="65">
        <v>975000</v>
      </c>
      <c r="J205" s="65"/>
      <c r="K205" s="165"/>
      <c r="L205" s="65">
        <v>975000</v>
      </c>
      <c r="M205" s="165"/>
      <c r="N205" s="65"/>
      <c r="O205" s="65"/>
      <c r="P205" s="165"/>
      <c r="Q205" s="65"/>
      <c r="R205" s="65"/>
      <c r="S205" s="65"/>
      <c r="T205" s="65"/>
      <c r="U205" s="65"/>
      <c r="V205" s="65"/>
      <c r="W205" s="65"/>
    </row>
    <row r="206" ht="20.25" customHeight="true" spans="1:23">
      <c r="A206" s="165" t="str">
        <f t="shared" si="4"/>
        <v>       玉溪市中心血站</v>
      </c>
      <c r="B206" s="165" t="s">
        <v>412</v>
      </c>
      <c r="C206" s="165" t="s">
        <v>413</v>
      </c>
      <c r="D206" s="165" t="s">
        <v>140</v>
      </c>
      <c r="E206" s="165" t="s">
        <v>398</v>
      </c>
      <c r="F206" s="165" t="s">
        <v>227</v>
      </c>
      <c r="G206" s="165" t="s">
        <v>228</v>
      </c>
      <c r="H206" s="168">
        <v>2440000</v>
      </c>
      <c r="I206" s="65"/>
      <c r="J206" s="65"/>
      <c r="K206" s="165"/>
      <c r="L206" s="65"/>
      <c r="M206" s="165"/>
      <c r="N206" s="65"/>
      <c r="O206" s="65"/>
      <c r="P206" s="165"/>
      <c r="Q206" s="65"/>
      <c r="R206" s="65">
        <v>2440000</v>
      </c>
      <c r="S206" s="65">
        <v>2440000</v>
      </c>
      <c r="T206" s="65"/>
      <c r="U206" s="65"/>
      <c r="V206" s="65"/>
      <c r="W206" s="65"/>
    </row>
    <row r="207" ht="20.25" customHeight="true" spans="1:23">
      <c r="A207" s="165" t="str">
        <f t="shared" si="4"/>
        <v>       玉溪市中心血站</v>
      </c>
      <c r="B207" s="165" t="s">
        <v>414</v>
      </c>
      <c r="C207" s="165" t="s">
        <v>415</v>
      </c>
      <c r="D207" s="165" t="s">
        <v>140</v>
      </c>
      <c r="E207" s="165" t="s">
        <v>398</v>
      </c>
      <c r="F207" s="165" t="s">
        <v>219</v>
      </c>
      <c r="G207" s="165" t="s">
        <v>220</v>
      </c>
      <c r="H207" s="168">
        <v>27000</v>
      </c>
      <c r="I207" s="65">
        <v>27000</v>
      </c>
      <c r="J207" s="65"/>
      <c r="K207" s="165"/>
      <c r="L207" s="65">
        <v>27000</v>
      </c>
      <c r="M207" s="165"/>
      <c r="N207" s="65"/>
      <c r="O207" s="65"/>
      <c r="P207" s="165"/>
      <c r="Q207" s="65"/>
      <c r="R207" s="65"/>
      <c r="S207" s="65"/>
      <c r="T207" s="65"/>
      <c r="U207" s="65"/>
      <c r="V207" s="65"/>
      <c r="W207" s="65"/>
    </row>
    <row r="208" ht="20.25" customHeight="true" spans="1:23">
      <c r="A208" s="165" t="str">
        <f t="shared" si="4"/>
        <v>       玉溪市中心血站</v>
      </c>
      <c r="B208" s="165" t="s">
        <v>416</v>
      </c>
      <c r="C208" s="165" t="s">
        <v>417</v>
      </c>
      <c r="D208" s="165" t="s">
        <v>148</v>
      </c>
      <c r="E208" s="165" t="s">
        <v>241</v>
      </c>
      <c r="F208" s="165" t="s">
        <v>239</v>
      </c>
      <c r="G208" s="165" t="s">
        <v>240</v>
      </c>
      <c r="H208" s="168">
        <v>21000</v>
      </c>
      <c r="I208" s="65">
        <v>21000</v>
      </c>
      <c r="J208" s="65"/>
      <c r="K208" s="165"/>
      <c r="L208" s="65">
        <v>21000</v>
      </c>
      <c r="M208" s="165"/>
      <c r="N208" s="65"/>
      <c r="O208" s="65"/>
      <c r="P208" s="165"/>
      <c r="Q208" s="65"/>
      <c r="R208" s="65"/>
      <c r="S208" s="65"/>
      <c r="T208" s="65"/>
      <c r="U208" s="65"/>
      <c r="V208" s="65"/>
      <c r="W208" s="65"/>
    </row>
    <row r="209" ht="20.25" customHeight="true" spans="1:23">
      <c r="A209" s="165" t="str">
        <f t="shared" si="4"/>
        <v>       玉溪市中心血站</v>
      </c>
      <c r="B209" s="165" t="s">
        <v>418</v>
      </c>
      <c r="C209" s="165" t="s">
        <v>330</v>
      </c>
      <c r="D209" s="165" t="s">
        <v>140</v>
      </c>
      <c r="E209" s="165" t="s">
        <v>398</v>
      </c>
      <c r="F209" s="165" t="s">
        <v>331</v>
      </c>
      <c r="G209" s="165" t="s">
        <v>330</v>
      </c>
      <c r="H209" s="168">
        <v>199000</v>
      </c>
      <c r="I209" s="65">
        <v>199000</v>
      </c>
      <c r="J209" s="65"/>
      <c r="K209" s="165"/>
      <c r="L209" s="65">
        <v>199000</v>
      </c>
      <c r="M209" s="165"/>
      <c r="N209" s="65"/>
      <c r="O209" s="65"/>
      <c r="P209" s="165"/>
      <c r="Q209" s="65"/>
      <c r="R209" s="65"/>
      <c r="S209" s="65"/>
      <c r="T209" s="65"/>
      <c r="U209" s="65"/>
      <c r="V209" s="65"/>
      <c r="W209" s="65"/>
    </row>
    <row r="210" ht="20.25" customHeight="true" spans="1:23">
      <c r="A210" s="165" t="str">
        <f t="shared" si="4"/>
        <v>       玉溪市中心血站</v>
      </c>
      <c r="B210" s="165" t="s">
        <v>419</v>
      </c>
      <c r="C210" s="165" t="s">
        <v>327</v>
      </c>
      <c r="D210" s="165" t="s">
        <v>140</v>
      </c>
      <c r="E210" s="165" t="s">
        <v>398</v>
      </c>
      <c r="F210" s="165" t="s">
        <v>328</v>
      </c>
      <c r="G210" s="165" t="s">
        <v>327</v>
      </c>
      <c r="H210" s="168">
        <v>180000</v>
      </c>
      <c r="I210" s="65">
        <v>180000</v>
      </c>
      <c r="J210" s="65"/>
      <c r="K210" s="165"/>
      <c r="L210" s="65">
        <v>180000</v>
      </c>
      <c r="M210" s="165"/>
      <c r="N210" s="65"/>
      <c r="O210" s="65"/>
      <c r="P210" s="165"/>
      <c r="Q210" s="65"/>
      <c r="R210" s="65"/>
      <c r="S210" s="65"/>
      <c r="T210" s="65"/>
      <c r="U210" s="65"/>
      <c r="V210" s="65"/>
      <c r="W210" s="65"/>
    </row>
    <row r="211" ht="20.25" customHeight="true" spans="1:23">
      <c r="A211" s="165" t="str">
        <f t="shared" si="4"/>
        <v>       玉溪市中心血站</v>
      </c>
      <c r="B211" s="165" t="s">
        <v>420</v>
      </c>
      <c r="C211" s="165" t="s">
        <v>421</v>
      </c>
      <c r="D211" s="165" t="s">
        <v>140</v>
      </c>
      <c r="E211" s="165" t="s">
        <v>398</v>
      </c>
      <c r="F211" s="165" t="s">
        <v>234</v>
      </c>
      <c r="G211" s="165" t="s">
        <v>235</v>
      </c>
      <c r="H211" s="168">
        <v>75000</v>
      </c>
      <c r="I211" s="65"/>
      <c r="J211" s="65"/>
      <c r="K211" s="165"/>
      <c r="L211" s="65"/>
      <c r="M211" s="165"/>
      <c r="N211" s="65"/>
      <c r="O211" s="65"/>
      <c r="P211" s="165"/>
      <c r="Q211" s="65"/>
      <c r="R211" s="65">
        <v>75000</v>
      </c>
      <c r="S211" s="65">
        <v>75000</v>
      </c>
      <c r="T211" s="65"/>
      <c r="U211" s="65"/>
      <c r="V211" s="65"/>
      <c r="W211" s="65"/>
    </row>
    <row r="212" ht="20.25" customHeight="true" spans="1:23">
      <c r="A212" s="171" t="s">
        <v>75</v>
      </c>
      <c r="B212" s="165"/>
      <c r="C212" s="165"/>
      <c r="D212" s="165"/>
      <c r="E212" s="165"/>
      <c r="F212" s="165"/>
      <c r="G212" s="165"/>
      <c r="H212" s="168">
        <v>593267956.78</v>
      </c>
      <c r="I212" s="65">
        <v>30000000</v>
      </c>
      <c r="J212" s="65"/>
      <c r="K212" s="165"/>
      <c r="L212" s="65">
        <v>30000000</v>
      </c>
      <c r="M212" s="165"/>
      <c r="N212" s="65"/>
      <c r="O212" s="65"/>
      <c r="P212" s="165"/>
      <c r="Q212" s="65"/>
      <c r="R212" s="65">
        <v>563267956.78</v>
      </c>
      <c r="S212" s="65">
        <v>563267956.78</v>
      </c>
      <c r="T212" s="65"/>
      <c r="U212" s="65"/>
      <c r="V212" s="65"/>
      <c r="W212" s="65"/>
    </row>
    <row r="213" ht="20.25" customHeight="true" spans="1:23">
      <c r="A213" s="165" t="str">
        <f t="shared" ref="A213:A229" si="5">"       "&amp;"玉溪市人民医院"</f>
        <v>       玉溪市人民医院</v>
      </c>
      <c r="B213" s="165" t="s">
        <v>422</v>
      </c>
      <c r="C213" s="165" t="s">
        <v>423</v>
      </c>
      <c r="D213" s="165" t="s">
        <v>128</v>
      </c>
      <c r="E213" s="165" t="s">
        <v>424</v>
      </c>
      <c r="F213" s="165" t="s">
        <v>219</v>
      </c>
      <c r="G213" s="165" t="s">
        <v>220</v>
      </c>
      <c r="H213" s="168">
        <v>51960000</v>
      </c>
      <c r="I213" s="65"/>
      <c r="J213" s="65"/>
      <c r="K213" s="165"/>
      <c r="L213" s="65"/>
      <c r="M213" s="165"/>
      <c r="N213" s="65"/>
      <c r="O213" s="65"/>
      <c r="P213" s="165"/>
      <c r="Q213" s="65"/>
      <c r="R213" s="65">
        <v>51960000</v>
      </c>
      <c r="S213" s="65">
        <v>51960000</v>
      </c>
      <c r="T213" s="65"/>
      <c r="U213" s="65"/>
      <c r="V213" s="65"/>
      <c r="W213" s="65"/>
    </row>
    <row r="214" ht="20.25" customHeight="true" spans="1:23">
      <c r="A214" s="165" t="str">
        <f t="shared" si="5"/>
        <v>       玉溪市人民医院</v>
      </c>
      <c r="B214" s="165" t="s">
        <v>422</v>
      </c>
      <c r="C214" s="165" t="s">
        <v>423</v>
      </c>
      <c r="D214" s="165" t="s">
        <v>128</v>
      </c>
      <c r="E214" s="165" t="s">
        <v>424</v>
      </c>
      <c r="F214" s="165" t="s">
        <v>227</v>
      </c>
      <c r="G214" s="165" t="s">
        <v>228</v>
      </c>
      <c r="H214" s="168">
        <v>215900500</v>
      </c>
      <c r="I214" s="65"/>
      <c r="J214" s="65"/>
      <c r="K214" s="165"/>
      <c r="L214" s="65"/>
      <c r="M214" s="165"/>
      <c r="N214" s="65"/>
      <c r="O214" s="65"/>
      <c r="P214" s="165"/>
      <c r="Q214" s="65"/>
      <c r="R214" s="65">
        <v>215900500</v>
      </c>
      <c r="S214" s="65">
        <v>215900500</v>
      </c>
      <c r="T214" s="65"/>
      <c r="U214" s="65"/>
      <c r="V214" s="65"/>
      <c r="W214" s="65"/>
    </row>
    <row r="215" ht="20.25" customHeight="true" spans="1:23">
      <c r="A215" s="165" t="str">
        <f t="shared" si="5"/>
        <v>       玉溪市人民医院</v>
      </c>
      <c r="B215" s="165" t="s">
        <v>425</v>
      </c>
      <c r="C215" s="165" t="s">
        <v>426</v>
      </c>
      <c r="D215" s="165" t="s">
        <v>115</v>
      </c>
      <c r="E215" s="165" t="s">
        <v>231</v>
      </c>
      <c r="F215" s="165" t="s">
        <v>232</v>
      </c>
      <c r="G215" s="165" t="s">
        <v>233</v>
      </c>
      <c r="H215" s="168">
        <v>9769200</v>
      </c>
      <c r="I215" s="65"/>
      <c r="J215" s="65"/>
      <c r="K215" s="165"/>
      <c r="L215" s="65"/>
      <c r="M215" s="165"/>
      <c r="N215" s="65"/>
      <c r="O215" s="65"/>
      <c r="P215" s="165"/>
      <c r="Q215" s="65"/>
      <c r="R215" s="65">
        <v>9769200</v>
      </c>
      <c r="S215" s="65">
        <v>9769200</v>
      </c>
      <c r="T215" s="65"/>
      <c r="U215" s="65"/>
      <c r="V215" s="65"/>
      <c r="W215" s="65"/>
    </row>
    <row r="216" ht="20.25" customHeight="true" spans="1:23">
      <c r="A216" s="165" t="str">
        <f t="shared" si="5"/>
        <v>       玉溪市人民医院</v>
      </c>
      <c r="B216" s="165" t="s">
        <v>425</v>
      </c>
      <c r="C216" s="165" t="s">
        <v>426</v>
      </c>
      <c r="D216" s="165" t="s">
        <v>116</v>
      </c>
      <c r="E216" s="165" t="s">
        <v>298</v>
      </c>
      <c r="F216" s="165" t="s">
        <v>299</v>
      </c>
      <c r="G216" s="165" t="s">
        <v>300</v>
      </c>
      <c r="H216" s="168">
        <v>10090000</v>
      </c>
      <c r="I216" s="65"/>
      <c r="J216" s="65"/>
      <c r="K216" s="165"/>
      <c r="L216" s="65"/>
      <c r="M216" s="165"/>
      <c r="N216" s="65"/>
      <c r="O216" s="65"/>
      <c r="P216" s="165"/>
      <c r="Q216" s="65"/>
      <c r="R216" s="65">
        <v>10090000</v>
      </c>
      <c r="S216" s="65">
        <v>10090000</v>
      </c>
      <c r="T216" s="65"/>
      <c r="U216" s="65"/>
      <c r="V216" s="65"/>
      <c r="W216" s="65"/>
    </row>
    <row r="217" ht="20.25" customHeight="true" spans="1:23">
      <c r="A217" s="165" t="str">
        <f t="shared" si="5"/>
        <v>       玉溪市人民医院</v>
      </c>
      <c r="B217" s="165" t="s">
        <v>425</v>
      </c>
      <c r="C217" s="165" t="s">
        <v>426</v>
      </c>
      <c r="D217" s="165" t="s">
        <v>120</v>
      </c>
      <c r="E217" s="165" t="s">
        <v>427</v>
      </c>
      <c r="F217" s="165" t="s">
        <v>234</v>
      </c>
      <c r="G217" s="165" t="s">
        <v>235</v>
      </c>
      <c r="H217" s="168">
        <v>2447950</v>
      </c>
      <c r="I217" s="65"/>
      <c r="J217" s="65"/>
      <c r="K217" s="165"/>
      <c r="L217" s="65"/>
      <c r="M217" s="165"/>
      <c r="N217" s="65"/>
      <c r="O217" s="65"/>
      <c r="P217" s="165"/>
      <c r="Q217" s="65"/>
      <c r="R217" s="65">
        <v>2447950</v>
      </c>
      <c r="S217" s="65">
        <v>2447950</v>
      </c>
      <c r="T217" s="65"/>
      <c r="U217" s="65"/>
      <c r="V217" s="65"/>
      <c r="W217" s="65"/>
    </row>
    <row r="218" ht="20.25" customHeight="true" spans="1:23">
      <c r="A218" s="165" t="str">
        <f t="shared" si="5"/>
        <v>       玉溪市人民医院</v>
      </c>
      <c r="B218" s="165" t="s">
        <v>425</v>
      </c>
      <c r="C218" s="165" t="s">
        <v>426</v>
      </c>
      <c r="D218" s="165" t="s">
        <v>148</v>
      </c>
      <c r="E218" s="165" t="s">
        <v>241</v>
      </c>
      <c r="F218" s="165" t="s">
        <v>237</v>
      </c>
      <c r="G218" s="165" t="s">
        <v>238</v>
      </c>
      <c r="H218" s="168">
        <v>10647750</v>
      </c>
      <c r="I218" s="65"/>
      <c r="J218" s="65"/>
      <c r="K218" s="165"/>
      <c r="L218" s="65"/>
      <c r="M218" s="165"/>
      <c r="N218" s="65"/>
      <c r="O218" s="65"/>
      <c r="P218" s="165"/>
      <c r="Q218" s="65"/>
      <c r="R218" s="65">
        <v>10647750</v>
      </c>
      <c r="S218" s="65">
        <v>10647750</v>
      </c>
      <c r="T218" s="65"/>
      <c r="U218" s="65"/>
      <c r="V218" s="65"/>
      <c r="W218" s="65"/>
    </row>
    <row r="219" ht="20.25" customHeight="true" spans="1:23">
      <c r="A219" s="165" t="str">
        <f t="shared" si="5"/>
        <v>       玉溪市人民医院</v>
      </c>
      <c r="B219" s="165" t="s">
        <v>425</v>
      </c>
      <c r="C219" s="165" t="s">
        <v>426</v>
      </c>
      <c r="D219" s="165" t="s">
        <v>149</v>
      </c>
      <c r="E219" s="165" t="s">
        <v>242</v>
      </c>
      <c r="F219" s="165" t="s">
        <v>243</v>
      </c>
      <c r="G219" s="165" t="s">
        <v>244</v>
      </c>
      <c r="H219" s="168">
        <v>6470000</v>
      </c>
      <c r="I219" s="65"/>
      <c r="J219" s="65"/>
      <c r="K219" s="165"/>
      <c r="L219" s="65"/>
      <c r="M219" s="165"/>
      <c r="N219" s="65"/>
      <c r="O219" s="65"/>
      <c r="P219" s="165"/>
      <c r="Q219" s="65"/>
      <c r="R219" s="65">
        <v>6470000</v>
      </c>
      <c r="S219" s="65">
        <v>6470000</v>
      </c>
      <c r="T219" s="65"/>
      <c r="U219" s="65"/>
      <c r="V219" s="65"/>
      <c r="W219" s="65"/>
    </row>
    <row r="220" ht="20.25" customHeight="true" spans="1:23">
      <c r="A220" s="165" t="str">
        <f t="shared" si="5"/>
        <v>       玉溪市人民医院</v>
      </c>
      <c r="B220" s="165" t="s">
        <v>428</v>
      </c>
      <c r="C220" s="165" t="s">
        <v>429</v>
      </c>
      <c r="D220" s="165" t="s">
        <v>160</v>
      </c>
      <c r="E220" s="165" t="s">
        <v>247</v>
      </c>
      <c r="F220" s="165" t="s">
        <v>248</v>
      </c>
      <c r="G220" s="165" t="s">
        <v>247</v>
      </c>
      <c r="H220" s="168">
        <v>27689200</v>
      </c>
      <c r="I220" s="65"/>
      <c r="J220" s="65"/>
      <c r="K220" s="165"/>
      <c r="L220" s="65"/>
      <c r="M220" s="165"/>
      <c r="N220" s="65"/>
      <c r="O220" s="65"/>
      <c r="P220" s="165"/>
      <c r="Q220" s="65"/>
      <c r="R220" s="65">
        <v>27689200</v>
      </c>
      <c r="S220" s="65">
        <v>27689200</v>
      </c>
      <c r="T220" s="65"/>
      <c r="U220" s="65"/>
      <c r="V220" s="65"/>
      <c r="W220" s="65"/>
    </row>
    <row r="221" ht="20.25" customHeight="true" spans="1:23">
      <c r="A221" s="165" t="str">
        <f t="shared" si="5"/>
        <v>       玉溪市人民医院</v>
      </c>
      <c r="B221" s="165" t="s">
        <v>430</v>
      </c>
      <c r="C221" s="165" t="s">
        <v>431</v>
      </c>
      <c r="D221" s="165" t="s">
        <v>128</v>
      </c>
      <c r="E221" s="165" t="s">
        <v>424</v>
      </c>
      <c r="F221" s="165" t="s">
        <v>432</v>
      </c>
      <c r="G221" s="165" t="s">
        <v>433</v>
      </c>
      <c r="H221" s="168">
        <v>680000</v>
      </c>
      <c r="I221" s="65"/>
      <c r="J221" s="65"/>
      <c r="K221" s="165"/>
      <c r="L221" s="65"/>
      <c r="M221" s="165"/>
      <c r="N221" s="65"/>
      <c r="O221" s="65"/>
      <c r="P221" s="165"/>
      <c r="Q221" s="65"/>
      <c r="R221" s="65">
        <v>680000</v>
      </c>
      <c r="S221" s="65">
        <v>680000</v>
      </c>
      <c r="T221" s="65"/>
      <c r="U221" s="65"/>
      <c r="V221" s="65"/>
      <c r="W221" s="65"/>
    </row>
    <row r="222" ht="20.25" customHeight="true" spans="1:23">
      <c r="A222" s="165" t="str">
        <f t="shared" si="5"/>
        <v>       玉溪市人民医院</v>
      </c>
      <c r="B222" s="165" t="s">
        <v>430</v>
      </c>
      <c r="C222" s="165" t="s">
        <v>431</v>
      </c>
      <c r="D222" s="165" t="s">
        <v>128</v>
      </c>
      <c r="E222" s="165" t="s">
        <v>424</v>
      </c>
      <c r="F222" s="165" t="s">
        <v>434</v>
      </c>
      <c r="G222" s="165" t="s">
        <v>435</v>
      </c>
      <c r="H222" s="168">
        <v>35000</v>
      </c>
      <c r="I222" s="65"/>
      <c r="J222" s="65"/>
      <c r="K222" s="165"/>
      <c r="L222" s="65"/>
      <c r="M222" s="165"/>
      <c r="N222" s="65"/>
      <c r="O222" s="65"/>
      <c r="P222" s="165"/>
      <c r="Q222" s="65"/>
      <c r="R222" s="65">
        <v>35000</v>
      </c>
      <c r="S222" s="65">
        <v>35000</v>
      </c>
      <c r="T222" s="65"/>
      <c r="U222" s="65"/>
      <c r="V222" s="65"/>
      <c r="W222" s="65"/>
    </row>
    <row r="223" ht="20.25" customHeight="true" spans="1:23">
      <c r="A223" s="165" t="str">
        <f t="shared" si="5"/>
        <v>       玉溪市人民医院</v>
      </c>
      <c r="B223" s="165" t="s">
        <v>430</v>
      </c>
      <c r="C223" s="165" t="s">
        <v>431</v>
      </c>
      <c r="D223" s="165" t="s">
        <v>128</v>
      </c>
      <c r="E223" s="165" t="s">
        <v>424</v>
      </c>
      <c r="F223" s="165" t="s">
        <v>295</v>
      </c>
      <c r="G223" s="165" t="s">
        <v>257</v>
      </c>
      <c r="H223" s="168">
        <v>29824624</v>
      </c>
      <c r="I223" s="65"/>
      <c r="J223" s="65"/>
      <c r="K223" s="165"/>
      <c r="L223" s="65"/>
      <c r="M223" s="165"/>
      <c r="N223" s="65"/>
      <c r="O223" s="65"/>
      <c r="P223" s="165"/>
      <c r="Q223" s="65"/>
      <c r="R223" s="65">
        <v>29824624</v>
      </c>
      <c r="S223" s="65">
        <v>29824624</v>
      </c>
      <c r="T223" s="65"/>
      <c r="U223" s="65"/>
      <c r="V223" s="65"/>
      <c r="W223" s="65"/>
    </row>
    <row r="224" ht="20.25" customHeight="true" spans="1:23">
      <c r="A224" s="165" t="str">
        <f t="shared" si="5"/>
        <v>       玉溪市人民医院</v>
      </c>
      <c r="B224" s="165" t="s">
        <v>436</v>
      </c>
      <c r="C224" s="165" t="s">
        <v>437</v>
      </c>
      <c r="D224" s="165" t="s">
        <v>128</v>
      </c>
      <c r="E224" s="165" t="s">
        <v>424</v>
      </c>
      <c r="F224" s="165" t="s">
        <v>438</v>
      </c>
      <c r="G224" s="165" t="s">
        <v>439</v>
      </c>
      <c r="H224" s="168">
        <v>25788356.78</v>
      </c>
      <c r="I224" s="65"/>
      <c r="J224" s="65"/>
      <c r="K224" s="165"/>
      <c r="L224" s="65"/>
      <c r="M224" s="165"/>
      <c r="N224" s="65"/>
      <c r="O224" s="65"/>
      <c r="P224" s="165"/>
      <c r="Q224" s="65"/>
      <c r="R224" s="65">
        <v>25788356.78</v>
      </c>
      <c r="S224" s="65">
        <v>25788356.78</v>
      </c>
      <c r="T224" s="65"/>
      <c r="U224" s="65"/>
      <c r="V224" s="65"/>
      <c r="W224" s="65"/>
    </row>
    <row r="225" ht="20.25" customHeight="true" spans="1:23">
      <c r="A225" s="165" t="str">
        <f t="shared" si="5"/>
        <v>       玉溪市人民医院</v>
      </c>
      <c r="B225" s="165" t="s">
        <v>440</v>
      </c>
      <c r="C225" s="165" t="s">
        <v>294</v>
      </c>
      <c r="D225" s="165" t="s">
        <v>157</v>
      </c>
      <c r="E225" s="165" t="s">
        <v>441</v>
      </c>
      <c r="F225" s="165" t="s">
        <v>295</v>
      </c>
      <c r="G225" s="165" t="s">
        <v>257</v>
      </c>
      <c r="H225" s="168">
        <v>171965376</v>
      </c>
      <c r="I225" s="65"/>
      <c r="J225" s="65"/>
      <c r="K225" s="165"/>
      <c r="L225" s="65"/>
      <c r="M225" s="165"/>
      <c r="N225" s="65"/>
      <c r="O225" s="65"/>
      <c r="P225" s="165"/>
      <c r="Q225" s="65"/>
      <c r="R225" s="65">
        <v>171965376</v>
      </c>
      <c r="S225" s="65">
        <v>171965376</v>
      </c>
      <c r="T225" s="65"/>
      <c r="U225" s="65"/>
      <c r="V225" s="65"/>
      <c r="W225" s="65"/>
    </row>
    <row r="226" ht="20.25" customHeight="true" spans="1:23">
      <c r="A226" s="165" t="str">
        <f t="shared" si="5"/>
        <v>       玉溪市人民医院</v>
      </c>
      <c r="B226" s="165" t="s">
        <v>442</v>
      </c>
      <c r="C226" s="165" t="s">
        <v>443</v>
      </c>
      <c r="D226" s="165" t="s">
        <v>115</v>
      </c>
      <c r="E226" s="165" t="s">
        <v>231</v>
      </c>
      <c r="F226" s="165" t="s">
        <v>232</v>
      </c>
      <c r="G226" s="165" t="s">
        <v>233</v>
      </c>
      <c r="H226" s="168">
        <v>10412800</v>
      </c>
      <c r="I226" s="65">
        <v>10412800</v>
      </c>
      <c r="J226" s="65"/>
      <c r="K226" s="165"/>
      <c r="L226" s="65">
        <v>10412800</v>
      </c>
      <c r="M226" s="165"/>
      <c r="N226" s="65"/>
      <c r="O226" s="65"/>
      <c r="P226" s="165"/>
      <c r="Q226" s="65"/>
      <c r="R226" s="65"/>
      <c r="S226" s="65"/>
      <c r="T226" s="65"/>
      <c r="U226" s="65"/>
      <c r="V226" s="65"/>
      <c r="W226" s="65"/>
    </row>
    <row r="227" ht="20.25" customHeight="true" spans="1:23">
      <c r="A227" s="165" t="str">
        <f t="shared" si="5"/>
        <v>       玉溪市人民医院</v>
      </c>
      <c r="B227" s="165" t="s">
        <v>442</v>
      </c>
      <c r="C227" s="165" t="s">
        <v>443</v>
      </c>
      <c r="D227" s="165" t="s">
        <v>148</v>
      </c>
      <c r="E227" s="165" t="s">
        <v>241</v>
      </c>
      <c r="F227" s="165" t="s">
        <v>239</v>
      </c>
      <c r="G227" s="165" t="s">
        <v>240</v>
      </c>
      <c r="H227" s="168">
        <v>164000</v>
      </c>
      <c r="I227" s="65">
        <v>164000</v>
      </c>
      <c r="J227" s="65"/>
      <c r="K227" s="165"/>
      <c r="L227" s="65">
        <v>164000</v>
      </c>
      <c r="M227" s="165"/>
      <c r="N227" s="65"/>
      <c r="O227" s="65"/>
      <c r="P227" s="165"/>
      <c r="Q227" s="65"/>
      <c r="R227" s="65"/>
      <c r="S227" s="65"/>
      <c r="T227" s="65"/>
      <c r="U227" s="65"/>
      <c r="V227" s="65"/>
      <c r="W227" s="65"/>
    </row>
    <row r="228" ht="20.25" customHeight="true" spans="1:23">
      <c r="A228" s="165" t="str">
        <f t="shared" si="5"/>
        <v>       玉溪市人民医院</v>
      </c>
      <c r="B228" s="165" t="s">
        <v>442</v>
      </c>
      <c r="C228" s="165" t="s">
        <v>443</v>
      </c>
      <c r="D228" s="165" t="s">
        <v>149</v>
      </c>
      <c r="E228" s="165" t="s">
        <v>242</v>
      </c>
      <c r="F228" s="165" t="s">
        <v>243</v>
      </c>
      <c r="G228" s="165" t="s">
        <v>244</v>
      </c>
      <c r="H228" s="168">
        <v>2486000</v>
      </c>
      <c r="I228" s="65">
        <v>2486000</v>
      </c>
      <c r="J228" s="65"/>
      <c r="K228" s="165"/>
      <c r="L228" s="65">
        <v>2486000</v>
      </c>
      <c r="M228" s="165"/>
      <c r="N228" s="65"/>
      <c r="O228" s="65"/>
      <c r="P228" s="165"/>
      <c r="Q228" s="65"/>
      <c r="R228" s="65"/>
      <c r="S228" s="65"/>
      <c r="T228" s="65"/>
      <c r="U228" s="65"/>
      <c r="V228" s="65"/>
      <c r="W228" s="65"/>
    </row>
    <row r="229" ht="20.25" customHeight="true" spans="1:23">
      <c r="A229" s="165" t="str">
        <f t="shared" si="5"/>
        <v>       玉溪市人民医院</v>
      </c>
      <c r="B229" s="165" t="s">
        <v>444</v>
      </c>
      <c r="C229" s="165" t="s">
        <v>445</v>
      </c>
      <c r="D229" s="165" t="s">
        <v>114</v>
      </c>
      <c r="E229" s="165" t="s">
        <v>337</v>
      </c>
      <c r="F229" s="165" t="s">
        <v>254</v>
      </c>
      <c r="G229" s="165" t="s">
        <v>255</v>
      </c>
      <c r="H229" s="168">
        <v>16937200</v>
      </c>
      <c r="I229" s="65">
        <v>16937200</v>
      </c>
      <c r="J229" s="65"/>
      <c r="K229" s="165"/>
      <c r="L229" s="65">
        <v>16937200</v>
      </c>
      <c r="M229" s="165"/>
      <c r="N229" s="65"/>
      <c r="O229" s="65"/>
      <c r="P229" s="165"/>
      <c r="Q229" s="65"/>
      <c r="R229" s="65"/>
      <c r="S229" s="65"/>
      <c r="T229" s="65"/>
      <c r="U229" s="65"/>
      <c r="V229" s="65"/>
      <c r="W229" s="65"/>
    </row>
    <row r="230" ht="20.25" customHeight="true" spans="1:23">
      <c r="A230" s="171" t="s">
        <v>77</v>
      </c>
      <c r="B230" s="165"/>
      <c r="C230" s="165"/>
      <c r="D230" s="165"/>
      <c r="E230" s="165"/>
      <c r="F230" s="165"/>
      <c r="G230" s="165"/>
      <c r="H230" s="168">
        <v>202102200</v>
      </c>
      <c r="I230" s="65">
        <v>13000000</v>
      </c>
      <c r="J230" s="65"/>
      <c r="K230" s="165"/>
      <c r="L230" s="65">
        <v>13000000</v>
      </c>
      <c r="M230" s="165"/>
      <c r="N230" s="65"/>
      <c r="O230" s="65"/>
      <c r="P230" s="165"/>
      <c r="Q230" s="65"/>
      <c r="R230" s="65">
        <v>189102200</v>
      </c>
      <c r="S230" s="65">
        <v>189102200</v>
      </c>
      <c r="T230" s="65"/>
      <c r="U230" s="65"/>
      <c r="V230" s="65"/>
      <c r="W230" s="65"/>
    </row>
    <row r="231" ht="20.25" customHeight="true" spans="1:23">
      <c r="A231" s="165" t="str">
        <f t="shared" ref="A231:A249" si="6">"       "&amp;"玉溪市中医医院"</f>
        <v>       玉溪市中医医院</v>
      </c>
      <c r="B231" s="165" t="s">
        <v>446</v>
      </c>
      <c r="C231" s="165" t="s">
        <v>447</v>
      </c>
      <c r="D231" s="165" t="s">
        <v>129</v>
      </c>
      <c r="E231" s="165" t="s">
        <v>448</v>
      </c>
      <c r="F231" s="165" t="s">
        <v>219</v>
      </c>
      <c r="G231" s="165" t="s">
        <v>220</v>
      </c>
      <c r="H231" s="168">
        <v>27500000</v>
      </c>
      <c r="I231" s="65"/>
      <c r="J231" s="65"/>
      <c r="K231" s="165"/>
      <c r="L231" s="65"/>
      <c r="M231" s="165"/>
      <c r="N231" s="65"/>
      <c r="O231" s="65"/>
      <c r="P231" s="165"/>
      <c r="Q231" s="65"/>
      <c r="R231" s="65">
        <v>27500000</v>
      </c>
      <c r="S231" s="65">
        <v>27500000</v>
      </c>
      <c r="T231" s="65"/>
      <c r="U231" s="65"/>
      <c r="V231" s="65"/>
      <c r="W231" s="65"/>
    </row>
    <row r="232" ht="20.25" customHeight="true" spans="1:23">
      <c r="A232" s="165" t="str">
        <f t="shared" si="6"/>
        <v>       玉溪市中医医院</v>
      </c>
      <c r="B232" s="165" t="s">
        <v>446</v>
      </c>
      <c r="C232" s="165" t="s">
        <v>447</v>
      </c>
      <c r="D232" s="165" t="s">
        <v>129</v>
      </c>
      <c r="E232" s="165" t="s">
        <v>448</v>
      </c>
      <c r="F232" s="165" t="s">
        <v>221</v>
      </c>
      <c r="G232" s="165" t="s">
        <v>222</v>
      </c>
      <c r="H232" s="168">
        <v>597400</v>
      </c>
      <c r="I232" s="65"/>
      <c r="J232" s="65"/>
      <c r="K232" s="165"/>
      <c r="L232" s="65"/>
      <c r="M232" s="165"/>
      <c r="N232" s="65"/>
      <c r="O232" s="65"/>
      <c r="P232" s="165"/>
      <c r="Q232" s="65"/>
      <c r="R232" s="65">
        <v>597400</v>
      </c>
      <c r="S232" s="65">
        <v>597400</v>
      </c>
      <c r="T232" s="65"/>
      <c r="U232" s="65"/>
      <c r="V232" s="65"/>
      <c r="W232" s="65"/>
    </row>
    <row r="233" ht="20.25" customHeight="true" spans="1:23">
      <c r="A233" s="165" t="str">
        <f t="shared" si="6"/>
        <v>       玉溪市中医医院</v>
      </c>
      <c r="B233" s="165" t="s">
        <v>446</v>
      </c>
      <c r="C233" s="165" t="s">
        <v>447</v>
      </c>
      <c r="D233" s="165" t="s">
        <v>129</v>
      </c>
      <c r="E233" s="165" t="s">
        <v>448</v>
      </c>
      <c r="F233" s="165" t="s">
        <v>227</v>
      </c>
      <c r="G233" s="165" t="s">
        <v>228</v>
      </c>
      <c r="H233" s="168">
        <v>86900768</v>
      </c>
      <c r="I233" s="65"/>
      <c r="J233" s="65"/>
      <c r="K233" s="165"/>
      <c r="L233" s="65"/>
      <c r="M233" s="165"/>
      <c r="N233" s="65"/>
      <c r="O233" s="65"/>
      <c r="P233" s="165"/>
      <c r="Q233" s="65"/>
      <c r="R233" s="65">
        <v>86900768</v>
      </c>
      <c r="S233" s="65">
        <v>86900768</v>
      </c>
      <c r="T233" s="65"/>
      <c r="U233" s="65"/>
      <c r="V233" s="65"/>
      <c r="W233" s="65"/>
    </row>
    <row r="234" ht="20.25" customHeight="true" spans="1:23">
      <c r="A234" s="165" t="str">
        <f t="shared" si="6"/>
        <v>       玉溪市中医医院</v>
      </c>
      <c r="B234" s="165" t="s">
        <v>449</v>
      </c>
      <c r="C234" s="165" t="s">
        <v>450</v>
      </c>
      <c r="D234" s="165" t="s">
        <v>115</v>
      </c>
      <c r="E234" s="165" t="s">
        <v>231</v>
      </c>
      <c r="F234" s="165" t="s">
        <v>232</v>
      </c>
      <c r="G234" s="165" t="s">
        <v>233</v>
      </c>
      <c r="H234" s="168">
        <v>6480000</v>
      </c>
      <c r="I234" s="65"/>
      <c r="J234" s="65"/>
      <c r="K234" s="165"/>
      <c r="L234" s="65"/>
      <c r="M234" s="165"/>
      <c r="N234" s="65"/>
      <c r="O234" s="65"/>
      <c r="P234" s="165"/>
      <c r="Q234" s="65"/>
      <c r="R234" s="65">
        <v>6480000</v>
      </c>
      <c r="S234" s="65">
        <v>6480000</v>
      </c>
      <c r="T234" s="65"/>
      <c r="U234" s="65"/>
      <c r="V234" s="65"/>
      <c r="W234" s="65"/>
    </row>
    <row r="235" ht="20.25" customHeight="true" spans="1:23">
      <c r="A235" s="165" t="str">
        <f t="shared" si="6"/>
        <v>       玉溪市中医医院</v>
      </c>
      <c r="B235" s="165" t="s">
        <v>449</v>
      </c>
      <c r="C235" s="165" t="s">
        <v>450</v>
      </c>
      <c r="D235" s="165" t="s">
        <v>116</v>
      </c>
      <c r="E235" s="165" t="s">
        <v>298</v>
      </c>
      <c r="F235" s="165" t="s">
        <v>299</v>
      </c>
      <c r="G235" s="165" t="s">
        <v>300</v>
      </c>
      <c r="H235" s="168">
        <v>5190000</v>
      </c>
      <c r="I235" s="65"/>
      <c r="J235" s="65"/>
      <c r="K235" s="165"/>
      <c r="L235" s="65"/>
      <c r="M235" s="165"/>
      <c r="N235" s="65"/>
      <c r="O235" s="65"/>
      <c r="P235" s="165"/>
      <c r="Q235" s="65"/>
      <c r="R235" s="65">
        <v>5190000</v>
      </c>
      <c r="S235" s="65">
        <v>5190000</v>
      </c>
      <c r="T235" s="65"/>
      <c r="U235" s="65"/>
      <c r="V235" s="65"/>
      <c r="W235" s="65"/>
    </row>
    <row r="236" ht="20.25" customHeight="true" spans="1:23">
      <c r="A236" s="165" t="str">
        <f t="shared" si="6"/>
        <v>       玉溪市中医医院</v>
      </c>
      <c r="B236" s="165" t="s">
        <v>449</v>
      </c>
      <c r="C236" s="165" t="s">
        <v>450</v>
      </c>
      <c r="D236" s="165" t="s">
        <v>148</v>
      </c>
      <c r="E236" s="165" t="s">
        <v>241</v>
      </c>
      <c r="F236" s="165" t="s">
        <v>237</v>
      </c>
      <c r="G236" s="165" t="s">
        <v>238</v>
      </c>
      <c r="H236" s="168">
        <v>3200000</v>
      </c>
      <c r="I236" s="65"/>
      <c r="J236" s="65"/>
      <c r="K236" s="165"/>
      <c r="L236" s="65"/>
      <c r="M236" s="165"/>
      <c r="N236" s="65"/>
      <c r="O236" s="65"/>
      <c r="P236" s="165"/>
      <c r="Q236" s="65"/>
      <c r="R236" s="65">
        <v>3200000</v>
      </c>
      <c r="S236" s="65">
        <v>3200000</v>
      </c>
      <c r="T236" s="65"/>
      <c r="U236" s="65"/>
      <c r="V236" s="65"/>
      <c r="W236" s="65"/>
    </row>
    <row r="237" ht="20.25" customHeight="true" spans="1:23">
      <c r="A237" s="165" t="str">
        <f t="shared" si="6"/>
        <v>       玉溪市中医医院</v>
      </c>
      <c r="B237" s="165" t="s">
        <v>449</v>
      </c>
      <c r="C237" s="165" t="s">
        <v>450</v>
      </c>
      <c r="D237" s="165" t="s">
        <v>149</v>
      </c>
      <c r="E237" s="165" t="s">
        <v>242</v>
      </c>
      <c r="F237" s="165" t="s">
        <v>243</v>
      </c>
      <c r="G237" s="165" t="s">
        <v>244</v>
      </c>
      <c r="H237" s="168">
        <v>2800000</v>
      </c>
      <c r="I237" s="65"/>
      <c r="J237" s="65"/>
      <c r="K237" s="165"/>
      <c r="L237" s="65"/>
      <c r="M237" s="165"/>
      <c r="N237" s="65"/>
      <c r="O237" s="65"/>
      <c r="P237" s="165"/>
      <c r="Q237" s="65"/>
      <c r="R237" s="65">
        <v>2800000</v>
      </c>
      <c r="S237" s="65">
        <v>2800000</v>
      </c>
      <c r="T237" s="65"/>
      <c r="U237" s="65"/>
      <c r="V237" s="65"/>
      <c r="W237" s="65"/>
    </row>
    <row r="238" ht="20.25" customHeight="true" spans="1:23">
      <c r="A238" s="165" t="str">
        <f t="shared" si="6"/>
        <v>       玉溪市中医医院</v>
      </c>
      <c r="B238" s="165" t="s">
        <v>449</v>
      </c>
      <c r="C238" s="165" t="s">
        <v>450</v>
      </c>
      <c r="D238" s="165" t="s">
        <v>150</v>
      </c>
      <c r="E238" s="165" t="s">
        <v>245</v>
      </c>
      <c r="F238" s="165" t="s">
        <v>234</v>
      </c>
      <c r="G238" s="165" t="s">
        <v>235</v>
      </c>
      <c r="H238" s="168">
        <v>1000000</v>
      </c>
      <c r="I238" s="65"/>
      <c r="J238" s="65"/>
      <c r="K238" s="165"/>
      <c r="L238" s="65"/>
      <c r="M238" s="165"/>
      <c r="N238" s="65"/>
      <c r="O238" s="65"/>
      <c r="P238" s="165"/>
      <c r="Q238" s="65"/>
      <c r="R238" s="65">
        <v>1000000</v>
      </c>
      <c r="S238" s="65">
        <v>1000000</v>
      </c>
      <c r="T238" s="65"/>
      <c r="U238" s="65"/>
      <c r="V238" s="65"/>
      <c r="W238" s="65"/>
    </row>
    <row r="239" ht="20.25" customHeight="true" spans="1:23">
      <c r="A239" s="165" t="str">
        <f t="shared" si="6"/>
        <v>       玉溪市中医医院</v>
      </c>
      <c r="B239" s="165" t="s">
        <v>451</v>
      </c>
      <c r="C239" s="165" t="s">
        <v>452</v>
      </c>
      <c r="D239" s="165" t="s">
        <v>160</v>
      </c>
      <c r="E239" s="165" t="s">
        <v>247</v>
      </c>
      <c r="F239" s="165" t="s">
        <v>248</v>
      </c>
      <c r="G239" s="165" t="s">
        <v>247</v>
      </c>
      <c r="H239" s="168">
        <v>11830000</v>
      </c>
      <c r="I239" s="65"/>
      <c r="J239" s="65"/>
      <c r="K239" s="165"/>
      <c r="L239" s="65"/>
      <c r="M239" s="165"/>
      <c r="N239" s="65"/>
      <c r="O239" s="65"/>
      <c r="P239" s="165"/>
      <c r="Q239" s="65"/>
      <c r="R239" s="65">
        <v>11830000</v>
      </c>
      <c r="S239" s="65">
        <v>11830000</v>
      </c>
      <c r="T239" s="65"/>
      <c r="U239" s="65"/>
      <c r="V239" s="65"/>
      <c r="W239" s="65"/>
    </row>
    <row r="240" ht="20.25" customHeight="true" spans="1:23">
      <c r="A240" s="165" t="str">
        <f t="shared" si="6"/>
        <v>       玉溪市中医医院</v>
      </c>
      <c r="B240" s="165" t="s">
        <v>453</v>
      </c>
      <c r="C240" s="165" t="s">
        <v>454</v>
      </c>
      <c r="D240" s="165" t="s">
        <v>129</v>
      </c>
      <c r="E240" s="165" t="s">
        <v>448</v>
      </c>
      <c r="F240" s="165" t="s">
        <v>295</v>
      </c>
      <c r="G240" s="165" t="s">
        <v>257</v>
      </c>
      <c r="H240" s="168">
        <v>42577632</v>
      </c>
      <c r="I240" s="65"/>
      <c r="J240" s="65"/>
      <c r="K240" s="165"/>
      <c r="L240" s="65"/>
      <c r="M240" s="165"/>
      <c r="N240" s="65"/>
      <c r="O240" s="65"/>
      <c r="P240" s="165"/>
      <c r="Q240" s="65"/>
      <c r="R240" s="65">
        <v>42577632</v>
      </c>
      <c r="S240" s="65">
        <v>42577632</v>
      </c>
      <c r="T240" s="65"/>
      <c r="U240" s="65"/>
      <c r="V240" s="65"/>
      <c r="W240" s="65"/>
    </row>
    <row r="241" ht="20.25" customHeight="true" spans="1:23">
      <c r="A241" s="165" t="str">
        <f t="shared" si="6"/>
        <v>       玉溪市中医医院</v>
      </c>
      <c r="B241" s="165" t="s">
        <v>455</v>
      </c>
      <c r="C241" s="165" t="s">
        <v>456</v>
      </c>
      <c r="D241" s="165" t="s">
        <v>114</v>
      </c>
      <c r="E241" s="165" t="s">
        <v>337</v>
      </c>
      <c r="F241" s="165" t="s">
        <v>254</v>
      </c>
      <c r="G241" s="165" t="s">
        <v>255</v>
      </c>
      <c r="H241" s="168">
        <v>379000</v>
      </c>
      <c r="I241" s="65"/>
      <c r="J241" s="65"/>
      <c r="K241" s="165"/>
      <c r="L241" s="65"/>
      <c r="M241" s="165"/>
      <c r="N241" s="65"/>
      <c r="O241" s="65"/>
      <c r="P241" s="165"/>
      <c r="Q241" s="65"/>
      <c r="R241" s="65">
        <v>379000</v>
      </c>
      <c r="S241" s="65">
        <v>379000</v>
      </c>
      <c r="T241" s="65"/>
      <c r="U241" s="65"/>
      <c r="V241" s="65"/>
      <c r="W241" s="65"/>
    </row>
    <row r="242" ht="20.25" customHeight="true" spans="1:23">
      <c r="A242" s="165" t="str">
        <f t="shared" si="6"/>
        <v>       玉溪市中医医院</v>
      </c>
      <c r="B242" s="165" t="s">
        <v>455</v>
      </c>
      <c r="C242" s="165" t="s">
        <v>456</v>
      </c>
      <c r="D242" s="165" t="s">
        <v>118</v>
      </c>
      <c r="E242" s="165" t="s">
        <v>457</v>
      </c>
      <c r="F242" s="165" t="s">
        <v>458</v>
      </c>
      <c r="G242" s="165" t="s">
        <v>459</v>
      </c>
      <c r="H242" s="168">
        <v>260000</v>
      </c>
      <c r="I242" s="65"/>
      <c r="J242" s="65"/>
      <c r="K242" s="165"/>
      <c r="L242" s="65"/>
      <c r="M242" s="165"/>
      <c r="N242" s="65"/>
      <c r="O242" s="65"/>
      <c r="P242" s="165"/>
      <c r="Q242" s="65"/>
      <c r="R242" s="65">
        <v>260000</v>
      </c>
      <c r="S242" s="65">
        <v>260000</v>
      </c>
      <c r="T242" s="65"/>
      <c r="U242" s="65"/>
      <c r="V242" s="65"/>
      <c r="W242" s="65"/>
    </row>
    <row r="243" ht="20.25" customHeight="true" spans="1:23">
      <c r="A243" s="165" t="str">
        <f t="shared" si="6"/>
        <v>       玉溪市中医医院</v>
      </c>
      <c r="B243" s="165" t="s">
        <v>455</v>
      </c>
      <c r="C243" s="165" t="s">
        <v>456</v>
      </c>
      <c r="D243" s="165" t="s">
        <v>129</v>
      </c>
      <c r="E243" s="165" t="s">
        <v>448</v>
      </c>
      <c r="F243" s="165" t="s">
        <v>254</v>
      </c>
      <c r="G243" s="165" t="s">
        <v>255</v>
      </c>
      <c r="H243" s="168">
        <v>26000</v>
      </c>
      <c r="I243" s="65"/>
      <c r="J243" s="65"/>
      <c r="K243" s="165"/>
      <c r="L243" s="65"/>
      <c r="M243" s="165"/>
      <c r="N243" s="65"/>
      <c r="O243" s="65"/>
      <c r="P243" s="165"/>
      <c r="Q243" s="65"/>
      <c r="R243" s="65">
        <v>26000</v>
      </c>
      <c r="S243" s="65">
        <v>26000</v>
      </c>
      <c r="T243" s="65"/>
      <c r="U243" s="65"/>
      <c r="V243" s="65"/>
      <c r="W243" s="65"/>
    </row>
    <row r="244" ht="20.25" customHeight="true" spans="1:23">
      <c r="A244" s="165" t="str">
        <f t="shared" si="6"/>
        <v>       玉溪市中医医院</v>
      </c>
      <c r="B244" s="165" t="s">
        <v>455</v>
      </c>
      <c r="C244" s="165" t="s">
        <v>456</v>
      </c>
      <c r="D244" s="165" t="s">
        <v>129</v>
      </c>
      <c r="E244" s="165" t="s">
        <v>448</v>
      </c>
      <c r="F244" s="165" t="s">
        <v>438</v>
      </c>
      <c r="G244" s="165" t="s">
        <v>439</v>
      </c>
      <c r="H244" s="168">
        <v>6400</v>
      </c>
      <c r="I244" s="65"/>
      <c r="J244" s="65"/>
      <c r="K244" s="165"/>
      <c r="L244" s="65"/>
      <c r="M244" s="165"/>
      <c r="N244" s="65"/>
      <c r="O244" s="65"/>
      <c r="P244" s="165"/>
      <c r="Q244" s="65"/>
      <c r="R244" s="65">
        <v>6400</v>
      </c>
      <c r="S244" s="65">
        <v>6400</v>
      </c>
      <c r="T244" s="65"/>
      <c r="U244" s="65"/>
      <c r="V244" s="65"/>
      <c r="W244" s="65"/>
    </row>
    <row r="245" ht="20.25" customHeight="true" spans="1:23">
      <c r="A245" s="165" t="str">
        <f t="shared" si="6"/>
        <v>       玉溪市中医医院</v>
      </c>
      <c r="B245" s="165" t="s">
        <v>455</v>
      </c>
      <c r="C245" s="165" t="s">
        <v>456</v>
      </c>
      <c r="D245" s="165" t="s">
        <v>148</v>
      </c>
      <c r="E245" s="165" t="s">
        <v>241</v>
      </c>
      <c r="F245" s="165" t="s">
        <v>239</v>
      </c>
      <c r="G245" s="165" t="s">
        <v>240</v>
      </c>
      <c r="H245" s="168">
        <v>355000</v>
      </c>
      <c r="I245" s="65"/>
      <c r="J245" s="65"/>
      <c r="K245" s="165"/>
      <c r="L245" s="65"/>
      <c r="M245" s="165"/>
      <c r="N245" s="65"/>
      <c r="O245" s="65"/>
      <c r="P245" s="165"/>
      <c r="Q245" s="65"/>
      <c r="R245" s="65">
        <v>355000</v>
      </c>
      <c r="S245" s="65">
        <v>355000</v>
      </c>
      <c r="T245" s="65"/>
      <c r="U245" s="65"/>
      <c r="V245" s="65"/>
      <c r="W245" s="65"/>
    </row>
    <row r="246" ht="20.25" customHeight="true" spans="1:23">
      <c r="A246" s="165" t="str">
        <f t="shared" si="6"/>
        <v>       玉溪市中医医院</v>
      </c>
      <c r="B246" s="165" t="s">
        <v>460</v>
      </c>
      <c r="C246" s="165" t="s">
        <v>461</v>
      </c>
      <c r="D246" s="165" t="s">
        <v>114</v>
      </c>
      <c r="E246" s="165" t="s">
        <v>337</v>
      </c>
      <c r="F246" s="165" t="s">
        <v>254</v>
      </c>
      <c r="G246" s="165" t="s">
        <v>255</v>
      </c>
      <c r="H246" s="168">
        <v>6200000</v>
      </c>
      <c r="I246" s="65">
        <v>6200000</v>
      </c>
      <c r="J246" s="65"/>
      <c r="K246" s="165"/>
      <c r="L246" s="65">
        <v>6200000</v>
      </c>
      <c r="M246" s="165"/>
      <c r="N246" s="65"/>
      <c r="O246" s="65"/>
      <c r="P246" s="165"/>
      <c r="Q246" s="65"/>
      <c r="R246" s="65"/>
      <c r="S246" s="65"/>
      <c r="T246" s="65"/>
      <c r="U246" s="65"/>
      <c r="V246" s="65"/>
      <c r="W246" s="65"/>
    </row>
    <row r="247" ht="20.25" customHeight="true" spans="1:23">
      <c r="A247" s="165" t="str">
        <f t="shared" si="6"/>
        <v>       玉溪市中医医院</v>
      </c>
      <c r="B247" s="165" t="s">
        <v>462</v>
      </c>
      <c r="C247" s="165" t="s">
        <v>463</v>
      </c>
      <c r="D247" s="165" t="s">
        <v>115</v>
      </c>
      <c r="E247" s="165" t="s">
        <v>231</v>
      </c>
      <c r="F247" s="165" t="s">
        <v>232</v>
      </c>
      <c r="G247" s="165" t="s">
        <v>233</v>
      </c>
      <c r="H247" s="168">
        <v>3500000</v>
      </c>
      <c r="I247" s="65">
        <v>3500000</v>
      </c>
      <c r="J247" s="65"/>
      <c r="K247" s="165"/>
      <c r="L247" s="65">
        <v>3500000</v>
      </c>
      <c r="M247" s="165"/>
      <c r="N247" s="65"/>
      <c r="O247" s="65"/>
      <c r="P247" s="165"/>
      <c r="Q247" s="65"/>
      <c r="R247" s="65"/>
      <c r="S247" s="65"/>
      <c r="T247" s="65"/>
      <c r="U247" s="65"/>
      <c r="V247" s="65"/>
      <c r="W247" s="65"/>
    </row>
    <row r="248" ht="20.25" customHeight="true" spans="1:23">
      <c r="A248" s="165" t="str">
        <f t="shared" si="6"/>
        <v>       玉溪市中医医院</v>
      </c>
      <c r="B248" s="165" t="s">
        <v>462</v>
      </c>
      <c r="C248" s="165" t="s">
        <v>463</v>
      </c>
      <c r="D248" s="165" t="s">
        <v>148</v>
      </c>
      <c r="E248" s="165" t="s">
        <v>241</v>
      </c>
      <c r="F248" s="165" t="s">
        <v>237</v>
      </c>
      <c r="G248" s="165" t="s">
        <v>238</v>
      </c>
      <c r="H248" s="168">
        <v>2000000</v>
      </c>
      <c r="I248" s="65">
        <v>2000000</v>
      </c>
      <c r="J248" s="65"/>
      <c r="K248" s="165"/>
      <c r="L248" s="65">
        <v>2000000</v>
      </c>
      <c r="M248" s="165"/>
      <c r="N248" s="65"/>
      <c r="O248" s="65"/>
      <c r="P248" s="165"/>
      <c r="Q248" s="65"/>
      <c r="R248" s="65"/>
      <c r="S248" s="65"/>
      <c r="T248" s="65"/>
      <c r="U248" s="65"/>
      <c r="V248" s="65"/>
      <c r="W248" s="65"/>
    </row>
    <row r="249" ht="20.25" customHeight="true" spans="1:23">
      <c r="A249" s="165" t="str">
        <f t="shared" si="6"/>
        <v>       玉溪市中医医院</v>
      </c>
      <c r="B249" s="165" t="s">
        <v>462</v>
      </c>
      <c r="C249" s="165" t="s">
        <v>463</v>
      </c>
      <c r="D249" s="165" t="s">
        <v>149</v>
      </c>
      <c r="E249" s="165" t="s">
        <v>242</v>
      </c>
      <c r="F249" s="165" t="s">
        <v>243</v>
      </c>
      <c r="G249" s="165" t="s">
        <v>244</v>
      </c>
      <c r="H249" s="168">
        <v>1300000</v>
      </c>
      <c r="I249" s="65">
        <v>1300000</v>
      </c>
      <c r="J249" s="65"/>
      <c r="K249" s="165"/>
      <c r="L249" s="65">
        <v>1300000</v>
      </c>
      <c r="M249" s="165"/>
      <c r="N249" s="65"/>
      <c r="O249" s="65"/>
      <c r="P249" s="165"/>
      <c r="Q249" s="65"/>
      <c r="R249" s="65"/>
      <c r="S249" s="65"/>
      <c r="T249" s="65"/>
      <c r="U249" s="65"/>
      <c r="V249" s="65"/>
      <c r="W249" s="65"/>
    </row>
    <row r="250" ht="20.25" customHeight="true" spans="1:23">
      <c r="A250" s="171" t="s">
        <v>79</v>
      </c>
      <c r="B250" s="165"/>
      <c r="C250" s="165"/>
      <c r="D250" s="165"/>
      <c r="E250" s="165"/>
      <c r="F250" s="165"/>
      <c r="G250" s="165"/>
      <c r="H250" s="168">
        <v>56388216</v>
      </c>
      <c r="I250" s="65">
        <v>10000000</v>
      </c>
      <c r="J250" s="65"/>
      <c r="K250" s="165"/>
      <c r="L250" s="65">
        <v>10000000</v>
      </c>
      <c r="M250" s="165"/>
      <c r="N250" s="65"/>
      <c r="O250" s="65"/>
      <c r="P250" s="165"/>
      <c r="Q250" s="65"/>
      <c r="R250" s="65">
        <v>46388216</v>
      </c>
      <c r="S250" s="65">
        <v>46388216</v>
      </c>
      <c r="T250" s="65"/>
      <c r="U250" s="65"/>
      <c r="V250" s="65"/>
      <c r="W250" s="65"/>
    </row>
    <row r="251" ht="20.25" customHeight="true" spans="1:23">
      <c r="A251" s="165" t="str">
        <f t="shared" ref="A251:A257" si="7">"       "&amp;"玉溪市第二人民医院"</f>
        <v>       玉溪市第二人民医院</v>
      </c>
      <c r="B251" s="165" t="s">
        <v>464</v>
      </c>
      <c r="C251" s="165" t="s">
        <v>465</v>
      </c>
      <c r="D251" s="165" t="s">
        <v>130</v>
      </c>
      <c r="E251" s="165" t="s">
        <v>466</v>
      </c>
      <c r="F251" s="165" t="s">
        <v>295</v>
      </c>
      <c r="G251" s="165" t="s">
        <v>257</v>
      </c>
      <c r="H251" s="168">
        <v>17699616</v>
      </c>
      <c r="I251" s="65"/>
      <c r="J251" s="65"/>
      <c r="K251" s="165"/>
      <c r="L251" s="65"/>
      <c r="M251" s="165"/>
      <c r="N251" s="65"/>
      <c r="O251" s="65"/>
      <c r="P251" s="165"/>
      <c r="Q251" s="65"/>
      <c r="R251" s="65">
        <v>17699616</v>
      </c>
      <c r="S251" s="65">
        <v>17699616</v>
      </c>
      <c r="T251" s="65"/>
      <c r="U251" s="65"/>
      <c r="V251" s="65"/>
      <c r="W251" s="65"/>
    </row>
    <row r="252" ht="20.25" customHeight="true" spans="1:23">
      <c r="A252" s="165" t="str">
        <f t="shared" si="7"/>
        <v>       玉溪市第二人民医院</v>
      </c>
      <c r="B252" s="165" t="s">
        <v>467</v>
      </c>
      <c r="C252" s="165" t="s">
        <v>468</v>
      </c>
      <c r="D252" s="165" t="s">
        <v>130</v>
      </c>
      <c r="E252" s="165" t="s">
        <v>466</v>
      </c>
      <c r="F252" s="165" t="s">
        <v>227</v>
      </c>
      <c r="G252" s="165" t="s">
        <v>228</v>
      </c>
      <c r="H252" s="168">
        <v>28688600</v>
      </c>
      <c r="I252" s="65"/>
      <c r="J252" s="65"/>
      <c r="K252" s="165"/>
      <c r="L252" s="65"/>
      <c r="M252" s="165"/>
      <c r="N252" s="65"/>
      <c r="O252" s="65"/>
      <c r="P252" s="165"/>
      <c r="Q252" s="65"/>
      <c r="R252" s="65">
        <v>28688600</v>
      </c>
      <c r="S252" s="65">
        <v>28688600</v>
      </c>
      <c r="T252" s="65"/>
      <c r="U252" s="65"/>
      <c r="V252" s="65"/>
      <c r="W252" s="65"/>
    </row>
    <row r="253" ht="20.25" customHeight="true" spans="1:23">
      <c r="A253" s="165" t="str">
        <f t="shared" si="7"/>
        <v>       玉溪市第二人民医院</v>
      </c>
      <c r="B253" s="165" t="s">
        <v>469</v>
      </c>
      <c r="C253" s="165" t="s">
        <v>470</v>
      </c>
      <c r="D253" s="165" t="s">
        <v>130</v>
      </c>
      <c r="E253" s="165" t="s">
        <v>466</v>
      </c>
      <c r="F253" s="165" t="s">
        <v>219</v>
      </c>
      <c r="G253" s="165" t="s">
        <v>220</v>
      </c>
      <c r="H253" s="168">
        <v>3770000</v>
      </c>
      <c r="I253" s="65">
        <v>3770000</v>
      </c>
      <c r="J253" s="65"/>
      <c r="K253" s="165"/>
      <c r="L253" s="65">
        <v>3770000</v>
      </c>
      <c r="M253" s="165"/>
      <c r="N253" s="65"/>
      <c r="O253" s="65"/>
      <c r="P253" s="165"/>
      <c r="Q253" s="65"/>
      <c r="R253" s="65"/>
      <c r="S253" s="65"/>
      <c r="T253" s="65"/>
      <c r="U253" s="65"/>
      <c r="V253" s="65"/>
      <c r="W253" s="65"/>
    </row>
    <row r="254" ht="20.25" customHeight="true" spans="1:23">
      <c r="A254" s="165" t="str">
        <f t="shared" si="7"/>
        <v>       玉溪市第二人民医院</v>
      </c>
      <c r="B254" s="165" t="s">
        <v>471</v>
      </c>
      <c r="C254" s="165" t="s">
        <v>472</v>
      </c>
      <c r="D254" s="165" t="s">
        <v>114</v>
      </c>
      <c r="E254" s="165" t="s">
        <v>337</v>
      </c>
      <c r="F254" s="165" t="s">
        <v>254</v>
      </c>
      <c r="G254" s="165" t="s">
        <v>255</v>
      </c>
      <c r="H254" s="168">
        <v>2138400</v>
      </c>
      <c r="I254" s="65">
        <v>2138400</v>
      </c>
      <c r="J254" s="65"/>
      <c r="K254" s="165"/>
      <c r="L254" s="65">
        <v>2138400</v>
      </c>
      <c r="M254" s="165"/>
      <c r="N254" s="65"/>
      <c r="O254" s="65"/>
      <c r="P254" s="165"/>
      <c r="Q254" s="65"/>
      <c r="R254" s="65"/>
      <c r="S254" s="65"/>
      <c r="T254" s="65"/>
      <c r="U254" s="65"/>
      <c r="V254" s="65"/>
      <c r="W254" s="65"/>
    </row>
    <row r="255" ht="20.25" customHeight="true" spans="1:23">
      <c r="A255" s="165" t="str">
        <f t="shared" si="7"/>
        <v>       玉溪市第二人民医院</v>
      </c>
      <c r="B255" s="165" t="s">
        <v>473</v>
      </c>
      <c r="C255" s="165" t="s">
        <v>474</v>
      </c>
      <c r="D255" s="165" t="s">
        <v>115</v>
      </c>
      <c r="E255" s="165" t="s">
        <v>231</v>
      </c>
      <c r="F255" s="165" t="s">
        <v>232</v>
      </c>
      <c r="G255" s="165" t="s">
        <v>233</v>
      </c>
      <c r="H255" s="168">
        <v>2165700</v>
      </c>
      <c r="I255" s="65">
        <v>2165700</v>
      </c>
      <c r="J255" s="65"/>
      <c r="K255" s="165"/>
      <c r="L255" s="65">
        <v>2165700</v>
      </c>
      <c r="M255" s="165"/>
      <c r="N255" s="65"/>
      <c r="O255" s="65"/>
      <c r="P255" s="165"/>
      <c r="Q255" s="65"/>
      <c r="R255" s="65"/>
      <c r="S255" s="65"/>
      <c r="T255" s="65"/>
      <c r="U255" s="65"/>
      <c r="V255" s="65"/>
      <c r="W255" s="65"/>
    </row>
    <row r="256" ht="20.25" customHeight="true" spans="1:23">
      <c r="A256" s="165" t="str">
        <f t="shared" si="7"/>
        <v>       玉溪市第二人民医院</v>
      </c>
      <c r="B256" s="165" t="s">
        <v>473</v>
      </c>
      <c r="C256" s="165" t="s">
        <v>474</v>
      </c>
      <c r="D256" s="165" t="s">
        <v>148</v>
      </c>
      <c r="E256" s="165" t="s">
        <v>241</v>
      </c>
      <c r="F256" s="165" t="s">
        <v>237</v>
      </c>
      <c r="G256" s="165" t="s">
        <v>238</v>
      </c>
      <c r="H256" s="168">
        <v>1082800</v>
      </c>
      <c r="I256" s="65">
        <v>1082800</v>
      </c>
      <c r="J256" s="65"/>
      <c r="K256" s="165"/>
      <c r="L256" s="65">
        <v>1082800</v>
      </c>
      <c r="M256" s="165"/>
      <c r="N256" s="65"/>
      <c r="O256" s="65"/>
      <c r="P256" s="165"/>
      <c r="Q256" s="65"/>
      <c r="R256" s="65"/>
      <c r="S256" s="65"/>
      <c r="T256" s="65"/>
      <c r="U256" s="65"/>
      <c r="V256" s="65"/>
      <c r="W256" s="65"/>
    </row>
    <row r="257" ht="20.25" customHeight="true" spans="1:23">
      <c r="A257" s="165" t="str">
        <f t="shared" si="7"/>
        <v>       玉溪市第二人民医院</v>
      </c>
      <c r="B257" s="165" t="s">
        <v>473</v>
      </c>
      <c r="C257" s="165" t="s">
        <v>474</v>
      </c>
      <c r="D257" s="165" t="s">
        <v>149</v>
      </c>
      <c r="E257" s="165" t="s">
        <v>242</v>
      </c>
      <c r="F257" s="165" t="s">
        <v>243</v>
      </c>
      <c r="G257" s="165" t="s">
        <v>244</v>
      </c>
      <c r="H257" s="168">
        <v>843100</v>
      </c>
      <c r="I257" s="65">
        <v>843100</v>
      </c>
      <c r="J257" s="65"/>
      <c r="K257" s="165"/>
      <c r="L257" s="65">
        <v>843100</v>
      </c>
      <c r="M257" s="165"/>
      <c r="N257" s="65"/>
      <c r="O257" s="65"/>
      <c r="P257" s="165"/>
      <c r="Q257" s="65"/>
      <c r="R257" s="65"/>
      <c r="S257" s="65"/>
      <c r="T257" s="65"/>
      <c r="U257" s="65"/>
      <c r="V257" s="65"/>
      <c r="W257" s="65"/>
    </row>
    <row r="258" ht="20.25" customHeight="true" spans="1:23">
      <c r="A258" s="171" t="s">
        <v>81</v>
      </c>
      <c r="B258" s="165"/>
      <c r="C258" s="165"/>
      <c r="D258" s="165"/>
      <c r="E258" s="165"/>
      <c r="F258" s="165"/>
      <c r="G258" s="165"/>
      <c r="H258" s="168">
        <v>13507077.86</v>
      </c>
      <c r="I258" s="65">
        <v>10578493.86</v>
      </c>
      <c r="J258" s="65">
        <v>4442545.24</v>
      </c>
      <c r="K258" s="165"/>
      <c r="L258" s="65">
        <v>6135948.62</v>
      </c>
      <c r="M258" s="165"/>
      <c r="N258" s="65"/>
      <c r="O258" s="65"/>
      <c r="P258" s="165"/>
      <c r="Q258" s="65"/>
      <c r="R258" s="65">
        <v>2928584</v>
      </c>
      <c r="S258" s="65">
        <v>2923484</v>
      </c>
      <c r="T258" s="65"/>
      <c r="U258" s="65"/>
      <c r="V258" s="65"/>
      <c r="W258" s="65">
        <v>5100</v>
      </c>
    </row>
    <row r="259" ht="20.25" customHeight="true" spans="1:23">
      <c r="A259" s="165" t="str">
        <f t="shared" ref="A259:A294" si="8">"       "&amp;"玉溪市急救中心"</f>
        <v>       玉溪市急救中心</v>
      </c>
      <c r="B259" s="165" t="s">
        <v>475</v>
      </c>
      <c r="C259" s="165" t="s">
        <v>225</v>
      </c>
      <c r="D259" s="165" t="s">
        <v>139</v>
      </c>
      <c r="E259" s="165" t="s">
        <v>476</v>
      </c>
      <c r="F259" s="165" t="s">
        <v>219</v>
      </c>
      <c r="G259" s="165" t="s">
        <v>220</v>
      </c>
      <c r="H259" s="168">
        <v>2001828</v>
      </c>
      <c r="I259" s="65">
        <v>2001828</v>
      </c>
      <c r="J259" s="65">
        <v>875799.75</v>
      </c>
      <c r="K259" s="165"/>
      <c r="L259" s="65">
        <v>1126028.25</v>
      </c>
      <c r="M259" s="165"/>
      <c r="N259" s="65"/>
      <c r="O259" s="65"/>
      <c r="P259" s="165"/>
      <c r="Q259" s="65"/>
      <c r="R259" s="65"/>
      <c r="S259" s="65"/>
      <c r="T259" s="65"/>
      <c r="U259" s="65"/>
      <c r="V259" s="65"/>
      <c r="W259" s="65"/>
    </row>
    <row r="260" ht="20.25" customHeight="true" spans="1:23">
      <c r="A260" s="165" t="str">
        <f t="shared" si="8"/>
        <v>       玉溪市急救中心</v>
      </c>
      <c r="B260" s="165" t="s">
        <v>475</v>
      </c>
      <c r="C260" s="165" t="s">
        <v>225</v>
      </c>
      <c r="D260" s="165" t="s">
        <v>139</v>
      </c>
      <c r="E260" s="165" t="s">
        <v>476</v>
      </c>
      <c r="F260" s="165" t="s">
        <v>221</v>
      </c>
      <c r="G260" s="165" t="s">
        <v>222</v>
      </c>
      <c r="H260" s="168">
        <v>182712</v>
      </c>
      <c r="I260" s="65">
        <v>182712</v>
      </c>
      <c r="J260" s="65">
        <v>79936.5</v>
      </c>
      <c r="K260" s="165"/>
      <c r="L260" s="65">
        <v>102775.5</v>
      </c>
      <c r="M260" s="165"/>
      <c r="N260" s="65"/>
      <c r="O260" s="65"/>
      <c r="P260" s="165"/>
      <c r="Q260" s="65"/>
      <c r="R260" s="65"/>
      <c r="S260" s="65"/>
      <c r="T260" s="65"/>
      <c r="U260" s="65"/>
      <c r="V260" s="65"/>
      <c r="W260" s="65"/>
    </row>
    <row r="261" ht="20.25" customHeight="true" spans="1:23">
      <c r="A261" s="165" t="str">
        <f t="shared" si="8"/>
        <v>       玉溪市急救中心</v>
      </c>
      <c r="B261" s="165" t="s">
        <v>475</v>
      </c>
      <c r="C261" s="165" t="s">
        <v>225</v>
      </c>
      <c r="D261" s="165" t="s">
        <v>139</v>
      </c>
      <c r="E261" s="165" t="s">
        <v>476</v>
      </c>
      <c r="F261" s="165" t="s">
        <v>227</v>
      </c>
      <c r="G261" s="165" t="s">
        <v>228</v>
      </c>
      <c r="H261" s="168">
        <v>590520</v>
      </c>
      <c r="I261" s="65">
        <v>590520</v>
      </c>
      <c r="J261" s="65">
        <v>258352.5</v>
      </c>
      <c r="K261" s="165"/>
      <c r="L261" s="65">
        <v>332167.5</v>
      </c>
      <c r="M261" s="165"/>
      <c r="N261" s="65"/>
      <c r="O261" s="65"/>
      <c r="P261" s="165"/>
      <c r="Q261" s="65"/>
      <c r="R261" s="65"/>
      <c r="S261" s="65"/>
      <c r="T261" s="65"/>
      <c r="U261" s="65"/>
      <c r="V261" s="65"/>
      <c r="W261" s="65"/>
    </row>
    <row r="262" ht="20.25" customHeight="true" spans="1:23">
      <c r="A262" s="165" t="str">
        <f t="shared" si="8"/>
        <v>       玉溪市急救中心</v>
      </c>
      <c r="B262" s="165" t="s">
        <v>475</v>
      </c>
      <c r="C262" s="165" t="s">
        <v>225</v>
      </c>
      <c r="D262" s="165" t="s">
        <v>161</v>
      </c>
      <c r="E262" s="165" t="s">
        <v>223</v>
      </c>
      <c r="F262" s="165" t="s">
        <v>221</v>
      </c>
      <c r="G262" s="165" t="s">
        <v>222</v>
      </c>
      <c r="H262" s="168">
        <v>83496</v>
      </c>
      <c r="I262" s="65">
        <v>83496</v>
      </c>
      <c r="J262" s="65"/>
      <c r="K262" s="165"/>
      <c r="L262" s="65">
        <v>83496</v>
      </c>
      <c r="M262" s="165"/>
      <c r="N262" s="65"/>
      <c r="O262" s="65"/>
      <c r="P262" s="165"/>
      <c r="Q262" s="65"/>
      <c r="R262" s="65"/>
      <c r="S262" s="65"/>
      <c r="T262" s="65"/>
      <c r="U262" s="65"/>
      <c r="V262" s="65"/>
      <c r="W262" s="65"/>
    </row>
    <row r="263" ht="20.25" customHeight="true" spans="1:23">
      <c r="A263" s="165" t="str">
        <f t="shared" si="8"/>
        <v>       玉溪市急救中心</v>
      </c>
      <c r="B263" s="165" t="s">
        <v>477</v>
      </c>
      <c r="C263" s="165" t="s">
        <v>230</v>
      </c>
      <c r="D263" s="165" t="s">
        <v>115</v>
      </c>
      <c r="E263" s="165" t="s">
        <v>231</v>
      </c>
      <c r="F263" s="165" t="s">
        <v>232</v>
      </c>
      <c r="G263" s="165" t="s">
        <v>233</v>
      </c>
      <c r="H263" s="168">
        <v>635957.76</v>
      </c>
      <c r="I263" s="65">
        <v>635957.76</v>
      </c>
      <c r="J263" s="65">
        <v>158989.44</v>
      </c>
      <c r="K263" s="165"/>
      <c r="L263" s="65">
        <v>476968.32</v>
      </c>
      <c r="M263" s="165"/>
      <c r="N263" s="65"/>
      <c r="O263" s="65"/>
      <c r="P263" s="165"/>
      <c r="Q263" s="65"/>
      <c r="R263" s="65"/>
      <c r="S263" s="65"/>
      <c r="T263" s="65"/>
      <c r="U263" s="65"/>
      <c r="V263" s="65"/>
      <c r="W263" s="65"/>
    </row>
    <row r="264" ht="20.25" customHeight="true" spans="1:23">
      <c r="A264" s="165" t="str">
        <f t="shared" si="8"/>
        <v>       玉溪市急救中心</v>
      </c>
      <c r="B264" s="165" t="s">
        <v>477</v>
      </c>
      <c r="C264" s="165" t="s">
        <v>230</v>
      </c>
      <c r="D264" s="165" t="s">
        <v>139</v>
      </c>
      <c r="E264" s="165" t="s">
        <v>476</v>
      </c>
      <c r="F264" s="165" t="s">
        <v>234</v>
      </c>
      <c r="G264" s="165" t="s">
        <v>235</v>
      </c>
      <c r="H264" s="168">
        <v>28990.89</v>
      </c>
      <c r="I264" s="65">
        <v>28990.89</v>
      </c>
      <c r="J264" s="65">
        <v>7247.72</v>
      </c>
      <c r="K264" s="165"/>
      <c r="L264" s="65">
        <v>21743.17</v>
      </c>
      <c r="M264" s="165"/>
      <c r="N264" s="65"/>
      <c r="O264" s="65"/>
      <c r="P264" s="165"/>
      <c r="Q264" s="65"/>
      <c r="R264" s="65"/>
      <c r="S264" s="65"/>
      <c r="T264" s="65"/>
      <c r="U264" s="65"/>
      <c r="V264" s="65"/>
      <c r="W264" s="65"/>
    </row>
    <row r="265" ht="20.25" customHeight="true" spans="1:23">
      <c r="A265" s="165" t="str">
        <f t="shared" si="8"/>
        <v>       玉溪市急救中心</v>
      </c>
      <c r="B265" s="165" t="s">
        <v>477</v>
      </c>
      <c r="C265" s="165" t="s">
        <v>230</v>
      </c>
      <c r="D265" s="165" t="s">
        <v>148</v>
      </c>
      <c r="E265" s="165" t="s">
        <v>241</v>
      </c>
      <c r="F265" s="165" t="s">
        <v>237</v>
      </c>
      <c r="G265" s="165" t="s">
        <v>238</v>
      </c>
      <c r="H265" s="168">
        <v>329903.09</v>
      </c>
      <c r="I265" s="65">
        <v>329903.09</v>
      </c>
      <c r="J265" s="65">
        <v>82475.77</v>
      </c>
      <c r="K265" s="165"/>
      <c r="L265" s="65">
        <v>247427.32</v>
      </c>
      <c r="M265" s="165"/>
      <c r="N265" s="65"/>
      <c r="O265" s="65"/>
      <c r="P265" s="165"/>
      <c r="Q265" s="65"/>
      <c r="R265" s="65"/>
      <c r="S265" s="65"/>
      <c r="T265" s="65"/>
      <c r="U265" s="65"/>
      <c r="V265" s="65"/>
      <c r="W265" s="65"/>
    </row>
    <row r="266" ht="20.25" customHeight="true" spans="1:23">
      <c r="A266" s="165" t="str">
        <f t="shared" si="8"/>
        <v>       玉溪市急救中心</v>
      </c>
      <c r="B266" s="165" t="s">
        <v>477</v>
      </c>
      <c r="C266" s="165" t="s">
        <v>230</v>
      </c>
      <c r="D266" s="165" t="s">
        <v>149</v>
      </c>
      <c r="E266" s="165" t="s">
        <v>242</v>
      </c>
      <c r="F266" s="165" t="s">
        <v>243</v>
      </c>
      <c r="G266" s="165" t="s">
        <v>244</v>
      </c>
      <c r="H266" s="168">
        <v>216736.8</v>
      </c>
      <c r="I266" s="65">
        <v>216736.8</v>
      </c>
      <c r="J266" s="65">
        <v>54184.2</v>
      </c>
      <c r="K266" s="165"/>
      <c r="L266" s="65">
        <v>162552.6</v>
      </c>
      <c r="M266" s="165"/>
      <c r="N266" s="65"/>
      <c r="O266" s="65"/>
      <c r="P266" s="165"/>
      <c r="Q266" s="65"/>
      <c r="R266" s="65"/>
      <c r="S266" s="65"/>
      <c r="T266" s="65"/>
      <c r="U266" s="65"/>
      <c r="V266" s="65"/>
      <c r="W266" s="65"/>
    </row>
    <row r="267" ht="20.25" customHeight="true" spans="1:23">
      <c r="A267" s="165" t="str">
        <f t="shared" si="8"/>
        <v>       玉溪市急救中心</v>
      </c>
      <c r="B267" s="165" t="s">
        <v>477</v>
      </c>
      <c r="C267" s="165" t="s">
        <v>230</v>
      </c>
      <c r="D267" s="165" t="s">
        <v>150</v>
      </c>
      <c r="E267" s="165" t="s">
        <v>245</v>
      </c>
      <c r="F267" s="165" t="s">
        <v>234</v>
      </c>
      <c r="G267" s="165" t="s">
        <v>235</v>
      </c>
      <c r="H267" s="168">
        <v>33152.42</v>
      </c>
      <c r="I267" s="65">
        <v>33152.42</v>
      </c>
      <c r="J267" s="65">
        <v>20930.11</v>
      </c>
      <c r="K267" s="165"/>
      <c r="L267" s="65">
        <v>12222.31</v>
      </c>
      <c r="M267" s="165"/>
      <c r="N267" s="65"/>
      <c r="O267" s="65"/>
      <c r="P267" s="165"/>
      <c r="Q267" s="65"/>
      <c r="R267" s="65"/>
      <c r="S267" s="65"/>
      <c r="T267" s="65"/>
      <c r="U267" s="65"/>
      <c r="V267" s="65"/>
      <c r="W267" s="65"/>
    </row>
    <row r="268" ht="20.25" customHeight="true" spans="1:23">
      <c r="A268" s="165" t="str">
        <f t="shared" si="8"/>
        <v>       玉溪市急救中心</v>
      </c>
      <c r="B268" s="165" t="s">
        <v>478</v>
      </c>
      <c r="C268" s="165" t="s">
        <v>247</v>
      </c>
      <c r="D268" s="165" t="s">
        <v>160</v>
      </c>
      <c r="E268" s="165" t="s">
        <v>247</v>
      </c>
      <c r="F268" s="165" t="s">
        <v>248</v>
      </c>
      <c r="G268" s="165" t="s">
        <v>247</v>
      </c>
      <c r="H268" s="168">
        <v>711708</v>
      </c>
      <c r="I268" s="65">
        <v>711708</v>
      </c>
      <c r="J268" s="65">
        <v>177927</v>
      </c>
      <c r="K268" s="165"/>
      <c r="L268" s="65">
        <v>533781</v>
      </c>
      <c r="M268" s="165"/>
      <c r="N268" s="65"/>
      <c r="O268" s="65"/>
      <c r="P268" s="165"/>
      <c r="Q268" s="65"/>
      <c r="R268" s="65"/>
      <c r="S268" s="65"/>
      <c r="T268" s="65"/>
      <c r="U268" s="65"/>
      <c r="V268" s="65"/>
      <c r="W268" s="65"/>
    </row>
    <row r="269" ht="20.25" customHeight="true" spans="1:23">
      <c r="A269" s="165" t="str">
        <f t="shared" si="8"/>
        <v>       玉溪市急救中心</v>
      </c>
      <c r="B269" s="165" t="s">
        <v>479</v>
      </c>
      <c r="C269" s="165" t="s">
        <v>250</v>
      </c>
      <c r="D269" s="165" t="s">
        <v>114</v>
      </c>
      <c r="E269" s="165" t="s">
        <v>337</v>
      </c>
      <c r="F269" s="165" t="s">
        <v>254</v>
      </c>
      <c r="G269" s="165" t="s">
        <v>255</v>
      </c>
      <c r="H269" s="168">
        <v>132000</v>
      </c>
      <c r="I269" s="65">
        <v>132000</v>
      </c>
      <c r="J269" s="65">
        <v>132000</v>
      </c>
      <c r="K269" s="165"/>
      <c r="L269" s="65"/>
      <c r="M269" s="165"/>
      <c r="N269" s="65"/>
      <c r="O269" s="65"/>
      <c r="P269" s="165"/>
      <c r="Q269" s="65"/>
      <c r="R269" s="65"/>
      <c r="S269" s="65"/>
      <c r="T269" s="65"/>
      <c r="U269" s="65"/>
      <c r="V269" s="65"/>
      <c r="W269" s="65"/>
    </row>
    <row r="270" ht="20.25" customHeight="true" spans="1:23">
      <c r="A270" s="165" t="str">
        <f t="shared" si="8"/>
        <v>       玉溪市急救中心</v>
      </c>
      <c r="B270" s="165" t="s">
        <v>480</v>
      </c>
      <c r="C270" s="165" t="s">
        <v>261</v>
      </c>
      <c r="D270" s="165" t="s">
        <v>132</v>
      </c>
      <c r="E270" s="165" t="s">
        <v>481</v>
      </c>
      <c r="F270" s="165" t="s">
        <v>262</v>
      </c>
      <c r="G270" s="165" t="s">
        <v>263</v>
      </c>
      <c r="H270" s="168">
        <v>78600</v>
      </c>
      <c r="I270" s="65">
        <v>78600</v>
      </c>
      <c r="J270" s="65"/>
      <c r="K270" s="165"/>
      <c r="L270" s="65">
        <v>78600</v>
      </c>
      <c r="M270" s="165"/>
      <c r="N270" s="65"/>
      <c r="O270" s="65"/>
      <c r="P270" s="165"/>
      <c r="Q270" s="65"/>
      <c r="R270" s="65"/>
      <c r="S270" s="65"/>
      <c r="T270" s="65"/>
      <c r="U270" s="65"/>
      <c r="V270" s="65"/>
      <c r="W270" s="65"/>
    </row>
    <row r="271" ht="20.25" customHeight="true" spans="1:23">
      <c r="A271" s="165" t="str">
        <f t="shared" si="8"/>
        <v>       玉溪市急救中心</v>
      </c>
      <c r="B271" s="165" t="s">
        <v>480</v>
      </c>
      <c r="C271" s="165" t="s">
        <v>261</v>
      </c>
      <c r="D271" s="165" t="s">
        <v>139</v>
      </c>
      <c r="E271" s="165" t="s">
        <v>476</v>
      </c>
      <c r="F271" s="165" t="s">
        <v>262</v>
      </c>
      <c r="G271" s="165" t="s">
        <v>263</v>
      </c>
      <c r="H271" s="168">
        <v>235800</v>
      </c>
      <c r="I271" s="65">
        <v>235800</v>
      </c>
      <c r="J271" s="65"/>
      <c r="K271" s="165"/>
      <c r="L271" s="65">
        <v>235800</v>
      </c>
      <c r="M271" s="165"/>
      <c r="N271" s="65"/>
      <c r="O271" s="65"/>
      <c r="P271" s="165"/>
      <c r="Q271" s="65"/>
      <c r="R271" s="65"/>
      <c r="S271" s="65"/>
      <c r="T271" s="65"/>
      <c r="U271" s="65"/>
      <c r="V271" s="65"/>
      <c r="W271" s="65"/>
    </row>
    <row r="272" ht="20.25" customHeight="true" spans="1:23">
      <c r="A272" s="165" t="str">
        <f t="shared" si="8"/>
        <v>       玉溪市急救中心</v>
      </c>
      <c r="B272" s="165" t="s">
        <v>482</v>
      </c>
      <c r="C272" s="165" t="s">
        <v>269</v>
      </c>
      <c r="D272" s="165" t="s">
        <v>139</v>
      </c>
      <c r="E272" s="165" t="s">
        <v>476</v>
      </c>
      <c r="F272" s="165" t="s">
        <v>270</v>
      </c>
      <c r="G272" s="165" t="s">
        <v>269</v>
      </c>
      <c r="H272" s="168">
        <v>84806.64</v>
      </c>
      <c r="I272" s="65">
        <v>84806.64</v>
      </c>
      <c r="J272" s="65"/>
      <c r="K272" s="165"/>
      <c r="L272" s="65">
        <v>84806.64</v>
      </c>
      <c r="M272" s="165"/>
      <c r="N272" s="65"/>
      <c r="O272" s="65"/>
      <c r="P272" s="165"/>
      <c r="Q272" s="65"/>
      <c r="R272" s="65"/>
      <c r="S272" s="65"/>
      <c r="T272" s="65"/>
      <c r="U272" s="65"/>
      <c r="V272" s="65"/>
      <c r="W272" s="65"/>
    </row>
    <row r="273" ht="20.25" customHeight="true" spans="1:23">
      <c r="A273" s="165" t="str">
        <f t="shared" si="8"/>
        <v>       玉溪市急救中心</v>
      </c>
      <c r="B273" s="165" t="s">
        <v>483</v>
      </c>
      <c r="C273" s="165" t="s">
        <v>272</v>
      </c>
      <c r="D273" s="165" t="s">
        <v>114</v>
      </c>
      <c r="E273" s="165" t="s">
        <v>337</v>
      </c>
      <c r="F273" s="165" t="s">
        <v>273</v>
      </c>
      <c r="G273" s="165" t="s">
        <v>274</v>
      </c>
      <c r="H273" s="168">
        <v>3000</v>
      </c>
      <c r="I273" s="65">
        <v>3000</v>
      </c>
      <c r="J273" s="65">
        <v>3000</v>
      </c>
      <c r="K273" s="165"/>
      <c r="L273" s="65"/>
      <c r="M273" s="165"/>
      <c r="N273" s="65"/>
      <c r="O273" s="65"/>
      <c r="P273" s="165"/>
      <c r="Q273" s="65"/>
      <c r="R273" s="65"/>
      <c r="S273" s="65"/>
      <c r="T273" s="65"/>
      <c r="U273" s="65"/>
      <c r="V273" s="65"/>
      <c r="W273" s="65"/>
    </row>
    <row r="274" ht="20.25" customHeight="true" spans="1:23">
      <c r="A274" s="165" t="str">
        <f t="shared" si="8"/>
        <v>       玉溪市急救中心</v>
      </c>
      <c r="B274" s="165" t="s">
        <v>483</v>
      </c>
      <c r="C274" s="165" t="s">
        <v>272</v>
      </c>
      <c r="D274" s="165" t="s">
        <v>139</v>
      </c>
      <c r="E274" s="165" t="s">
        <v>476</v>
      </c>
      <c r="F274" s="165" t="s">
        <v>275</v>
      </c>
      <c r="G274" s="165" t="s">
        <v>276</v>
      </c>
      <c r="H274" s="168">
        <v>63691</v>
      </c>
      <c r="I274" s="65">
        <v>63691</v>
      </c>
      <c r="J274" s="65">
        <v>10000</v>
      </c>
      <c r="K274" s="165"/>
      <c r="L274" s="65">
        <v>53691</v>
      </c>
      <c r="M274" s="165"/>
      <c r="N274" s="65"/>
      <c r="O274" s="65"/>
      <c r="P274" s="165"/>
      <c r="Q274" s="65"/>
      <c r="R274" s="65"/>
      <c r="S274" s="65"/>
      <c r="T274" s="65"/>
      <c r="U274" s="65"/>
      <c r="V274" s="65"/>
      <c r="W274" s="65"/>
    </row>
    <row r="275" ht="20.25" customHeight="true" spans="1:23">
      <c r="A275" s="165" t="str">
        <f t="shared" si="8"/>
        <v>       玉溪市急救中心</v>
      </c>
      <c r="B275" s="165" t="s">
        <v>483</v>
      </c>
      <c r="C275" s="165" t="s">
        <v>272</v>
      </c>
      <c r="D275" s="165" t="s">
        <v>139</v>
      </c>
      <c r="E275" s="165" t="s">
        <v>476</v>
      </c>
      <c r="F275" s="165" t="s">
        <v>341</v>
      </c>
      <c r="G275" s="165" t="s">
        <v>342</v>
      </c>
      <c r="H275" s="168">
        <v>10100</v>
      </c>
      <c r="I275" s="65">
        <v>10100</v>
      </c>
      <c r="J275" s="65">
        <v>2525</v>
      </c>
      <c r="K275" s="165"/>
      <c r="L275" s="65">
        <v>7575</v>
      </c>
      <c r="M275" s="165"/>
      <c r="N275" s="65"/>
      <c r="O275" s="65"/>
      <c r="P275" s="165"/>
      <c r="Q275" s="65"/>
      <c r="R275" s="65"/>
      <c r="S275" s="65"/>
      <c r="T275" s="65"/>
      <c r="U275" s="65"/>
      <c r="V275" s="65"/>
      <c r="W275" s="65"/>
    </row>
    <row r="276" ht="20.25" customHeight="true" spans="1:23">
      <c r="A276" s="165" t="str">
        <f t="shared" si="8"/>
        <v>       玉溪市急救中心</v>
      </c>
      <c r="B276" s="165" t="s">
        <v>483</v>
      </c>
      <c r="C276" s="165" t="s">
        <v>272</v>
      </c>
      <c r="D276" s="165" t="s">
        <v>139</v>
      </c>
      <c r="E276" s="165" t="s">
        <v>476</v>
      </c>
      <c r="F276" s="165" t="s">
        <v>308</v>
      </c>
      <c r="G276" s="165" t="s">
        <v>309</v>
      </c>
      <c r="H276" s="168">
        <v>35000</v>
      </c>
      <c r="I276" s="65">
        <v>35000</v>
      </c>
      <c r="J276" s="65">
        <v>8750</v>
      </c>
      <c r="K276" s="165"/>
      <c r="L276" s="65">
        <v>26250</v>
      </c>
      <c r="M276" s="165"/>
      <c r="N276" s="65"/>
      <c r="O276" s="65"/>
      <c r="P276" s="165"/>
      <c r="Q276" s="65"/>
      <c r="R276" s="65"/>
      <c r="S276" s="65"/>
      <c r="T276" s="65"/>
      <c r="U276" s="65"/>
      <c r="V276" s="65"/>
      <c r="W276" s="65"/>
    </row>
    <row r="277" ht="20.25" customHeight="true" spans="1:23">
      <c r="A277" s="165" t="str">
        <f t="shared" si="8"/>
        <v>       玉溪市急救中心</v>
      </c>
      <c r="B277" s="165" t="s">
        <v>483</v>
      </c>
      <c r="C277" s="165" t="s">
        <v>272</v>
      </c>
      <c r="D277" s="165" t="s">
        <v>139</v>
      </c>
      <c r="E277" s="165" t="s">
        <v>476</v>
      </c>
      <c r="F277" s="165" t="s">
        <v>310</v>
      </c>
      <c r="G277" s="165" t="s">
        <v>311</v>
      </c>
      <c r="H277" s="168">
        <v>56309</v>
      </c>
      <c r="I277" s="65">
        <v>56309</v>
      </c>
      <c r="J277" s="65">
        <v>14077.25</v>
      </c>
      <c r="K277" s="165"/>
      <c r="L277" s="65">
        <v>42231.75</v>
      </c>
      <c r="M277" s="165"/>
      <c r="N277" s="65"/>
      <c r="O277" s="65"/>
      <c r="P277" s="165"/>
      <c r="Q277" s="65"/>
      <c r="R277" s="65"/>
      <c r="S277" s="65"/>
      <c r="T277" s="65"/>
      <c r="U277" s="65"/>
      <c r="V277" s="65"/>
      <c r="W277" s="65"/>
    </row>
    <row r="278" ht="20.25" customHeight="true" spans="1:23">
      <c r="A278" s="165" t="str">
        <f t="shared" si="8"/>
        <v>       玉溪市急救中心</v>
      </c>
      <c r="B278" s="165" t="s">
        <v>483</v>
      </c>
      <c r="C278" s="165" t="s">
        <v>272</v>
      </c>
      <c r="D278" s="165" t="s">
        <v>139</v>
      </c>
      <c r="E278" s="165" t="s">
        <v>476</v>
      </c>
      <c r="F278" s="165" t="s">
        <v>277</v>
      </c>
      <c r="G278" s="165" t="s">
        <v>278</v>
      </c>
      <c r="H278" s="168">
        <v>90000</v>
      </c>
      <c r="I278" s="65">
        <v>90000</v>
      </c>
      <c r="J278" s="65">
        <v>22500</v>
      </c>
      <c r="K278" s="165"/>
      <c r="L278" s="65">
        <v>67500</v>
      </c>
      <c r="M278" s="165"/>
      <c r="N278" s="65"/>
      <c r="O278" s="65"/>
      <c r="P278" s="165"/>
      <c r="Q278" s="65"/>
      <c r="R278" s="65"/>
      <c r="S278" s="65"/>
      <c r="T278" s="65"/>
      <c r="U278" s="65"/>
      <c r="V278" s="65"/>
      <c r="W278" s="65"/>
    </row>
    <row r="279" ht="20.25" customHeight="true" spans="1:23">
      <c r="A279" s="165" t="str">
        <f t="shared" si="8"/>
        <v>       玉溪市急救中心</v>
      </c>
      <c r="B279" s="165" t="s">
        <v>483</v>
      </c>
      <c r="C279" s="165" t="s">
        <v>272</v>
      </c>
      <c r="D279" s="165" t="s">
        <v>139</v>
      </c>
      <c r="E279" s="165" t="s">
        <v>476</v>
      </c>
      <c r="F279" s="165" t="s">
        <v>281</v>
      </c>
      <c r="G279" s="165" t="s">
        <v>282</v>
      </c>
      <c r="H279" s="168">
        <v>10000</v>
      </c>
      <c r="I279" s="65">
        <v>10000</v>
      </c>
      <c r="J279" s="65">
        <v>2500</v>
      </c>
      <c r="K279" s="165"/>
      <c r="L279" s="65">
        <v>7500</v>
      </c>
      <c r="M279" s="165"/>
      <c r="N279" s="65"/>
      <c r="O279" s="65"/>
      <c r="P279" s="165"/>
      <c r="Q279" s="65"/>
      <c r="R279" s="65"/>
      <c r="S279" s="65"/>
      <c r="T279" s="65"/>
      <c r="U279" s="65"/>
      <c r="V279" s="65"/>
      <c r="W279" s="65"/>
    </row>
    <row r="280" ht="20.25" customHeight="true" spans="1:23">
      <c r="A280" s="165" t="str">
        <f t="shared" si="8"/>
        <v>       玉溪市急救中心</v>
      </c>
      <c r="B280" s="165" t="s">
        <v>483</v>
      </c>
      <c r="C280" s="165" t="s">
        <v>272</v>
      </c>
      <c r="D280" s="165" t="s">
        <v>139</v>
      </c>
      <c r="E280" s="165" t="s">
        <v>476</v>
      </c>
      <c r="F280" s="165" t="s">
        <v>283</v>
      </c>
      <c r="G280" s="165" t="s">
        <v>284</v>
      </c>
      <c r="H280" s="168">
        <v>15000</v>
      </c>
      <c r="I280" s="65">
        <v>15000</v>
      </c>
      <c r="J280" s="65">
        <v>3750</v>
      </c>
      <c r="K280" s="165"/>
      <c r="L280" s="65">
        <v>11250</v>
      </c>
      <c r="M280" s="165"/>
      <c r="N280" s="65"/>
      <c r="O280" s="65"/>
      <c r="P280" s="165"/>
      <c r="Q280" s="65"/>
      <c r="R280" s="65"/>
      <c r="S280" s="65"/>
      <c r="T280" s="65"/>
      <c r="U280" s="65"/>
      <c r="V280" s="65"/>
      <c r="W280" s="65"/>
    </row>
    <row r="281" ht="20.25" customHeight="true" spans="1:23">
      <c r="A281" s="165" t="str">
        <f t="shared" si="8"/>
        <v>       玉溪市急救中心</v>
      </c>
      <c r="B281" s="165" t="s">
        <v>483</v>
      </c>
      <c r="C281" s="165" t="s">
        <v>272</v>
      </c>
      <c r="D281" s="165" t="s">
        <v>139</v>
      </c>
      <c r="E281" s="165" t="s">
        <v>476</v>
      </c>
      <c r="F281" s="165" t="s">
        <v>285</v>
      </c>
      <c r="G281" s="165" t="s">
        <v>286</v>
      </c>
      <c r="H281" s="168">
        <v>44000</v>
      </c>
      <c r="I281" s="65">
        <v>44000</v>
      </c>
      <c r="J281" s="65">
        <v>11000</v>
      </c>
      <c r="K281" s="165"/>
      <c r="L281" s="65">
        <v>33000</v>
      </c>
      <c r="M281" s="165"/>
      <c r="N281" s="65"/>
      <c r="O281" s="65"/>
      <c r="P281" s="165"/>
      <c r="Q281" s="65"/>
      <c r="R281" s="65"/>
      <c r="S281" s="65"/>
      <c r="T281" s="65"/>
      <c r="U281" s="65"/>
      <c r="V281" s="65"/>
      <c r="W281" s="65"/>
    </row>
    <row r="282" ht="20.25" customHeight="true" spans="1:23">
      <c r="A282" s="165" t="str">
        <f t="shared" si="8"/>
        <v>       玉溪市急救中心</v>
      </c>
      <c r="B282" s="165" t="s">
        <v>483</v>
      </c>
      <c r="C282" s="165" t="s">
        <v>272</v>
      </c>
      <c r="D282" s="165" t="s">
        <v>139</v>
      </c>
      <c r="E282" s="165" t="s">
        <v>476</v>
      </c>
      <c r="F282" s="165" t="s">
        <v>273</v>
      </c>
      <c r="G282" s="165" t="s">
        <v>274</v>
      </c>
      <c r="H282" s="168">
        <v>147601</v>
      </c>
      <c r="I282" s="65">
        <v>147601</v>
      </c>
      <c r="J282" s="65">
        <v>36900.25</v>
      </c>
      <c r="K282" s="165"/>
      <c r="L282" s="65">
        <v>110700.75</v>
      </c>
      <c r="M282" s="165"/>
      <c r="N282" s="65"/>
      <c r="O282" s="65"/>
      <c r="P282" s="165"/>
      <c r="Q282" s="65"/>
      <c r="R282" s="65"/>
      <c r="S282" s="65"/>
      <c r="T282" s="65"/>
      <c r="U282" s="65"/>
      <c r="V282" s="65"/>
      <c r="W282" s="65"/>
    </row>
    <row r="283" ht="20.25" customHeight="true" spans="1:23">
      <c r="A283" s="165" t="str">
        <f t="shared" si="8"/>
        <v>       玉溪市急救中心</v>
      </c>
      <c r="B283" s="165" t="s">
        <v>483</v>
      </c>
      <c r="C283" s="165" t="s">
        <v>272</v>
      </c>
      <c r="D283" s="165" t="s">
        <v>139</v>
      </c>
      <c r="E283" s="165" t="s">
        <v>476</v>
      </c>
      <c r="F283" s="165" t="s">
        <v>287</v>
      </c>
      <c r="G283" s="165" t="s">
        <v>288</v>
      </c>
      <c r="H283" s="168">
        <v>7299</v>
      </c>
      <c r="I283" s="65">
        <v>7299</v>
      </c>
      <c r="J283" s="65">
        <v>699.75</v>
      </c>
      <c r="K283" s="165"/>
      <c r="L283" s="65">
        <v>6599.25</v>
      </c>
      <c r="M283" s="165"/>
      <c r="N283" s="65"/>
      <c r="O283" s="65"/>
      <c r="P283" s="165"/>
      <c r="Q283" s="65"/>
      <c r="R283" s="65"/>
      <c r="S283" s="65"/>
      <c r="T283" s="65"/>
      <c r="U283" s="65"/>
      <c r="V283" s="65"/>
      <c r="W283" s="65"/>
    </row>
    <row r="284" ht="20.25" customHeight="true" spans="1:23">
      <c r="A284" s="165" t="str">
        <f t="shared" si="8"/>
        <v>       玉溪市急救中心</v>
      </c>
      <c r="B284" s="165" t="s">
        <v>484</v>
      </c>
      <c r="C284" s="165" t="s">
        <v>485</v>
      </c>
      <c r="D284" s="165" t="s">
        <v>139</v>
      </c>
      <c r="E284" s="165" t="s">
        <v>476</v>
      </c>
      <c r="F284" s="165" t="s">
        <v>227</v>
      </c>
      <c r="G284" s="165" t="s">
        <v>228</v>
      </c>
      <c r="H284" s="168">
        <v>2000000</v>
      </c>
      <c r="I284" s="65"/>
      <c r="J284" s="65"/>
      <c r="K284" s="165"/>
      <c r="L284" s="65"/>
      <c r="M284" s="165"/>
      <c r="N284" s="65"/>
      <c r="O284" s="65"/>
      <c r="P284" s="165"/>
      <c r="Q284" s="65"/>
      <c r="R284" s="65">
        <v>2000000</v>
      </c>
      <c r="S284" s="65">
        <v>2000000</v>
      </c>
      <c r="T284" s="65"/>
      <c r="U284" s="65"/>
      <c r="V284" s="65"/>
      <c r="W284" s="65"/>
    </row>
    <row r="285" ht="20.25" customHeight="true" spans="1:23">
      <c r="A285" s="165" t="str">
        <f t="shared" si="8"/>
        <v>       玉溪市急救中心</v>
      </c>
      <c r="B285" s="165" t="s">
        <v>486</v>
      </c>
      <c r="C285" s="165" t="s">
        <v>344</v>
      </c>
      <c r="D285" s="165" t="s">
        <v>139</v>
      </c>
      <c r="E285" s="165" t="s">
        <v>476</v>
      </c>
      <c r="F285" s="165" t="s">
        <v>234</v>
      </c>
      <c r="G285" s="165" t="s">
        <v>235</v>
      </c>
      <c r="H285" s="168">
        <v>27000</v>
      </c>
      <c r="I285" s="65">
        <v>27000</v>
      </c>
      <c r="J285" s="65"/>
      <c r="K285" s="165"/>
      <c r="L285" s="65">
        <v>27000</v>
      </c>
      <c r="M285" s="165"/>
      <c r="N285" s="65"/>
      <c r="O285" s="65"/>
      <c r="P285" s="165"/>
      <c r="Q285" s="65"/>
      <c r="R285" s="65"/>
      <c r="S285" s="65"/>
      <c r="T285" s="65"/>
      <c r="U285" s="65"/>
      <c r="V285" s="65"/>
      <c r="W285" s="65"/>
    </row>
    <row r="286" ht="20.25" customHeight="true" spans="1:23">
      <c r="A286" s="165" t="str">
        <f t="shared" si="8"/>
        <v>       玉溪市急救中心</v>
      </c>
      <c r="B286" s="165" t="s">
        <v>487</v>
      </c>
      <c r="C286" s="165" t="s">
        <v>319</v>
      </c>
      <c r="D286" s="165" t="s">
        <v>139</v>
      </c>
      <c r="E286" s="165" t="s">
        <v>476</v>
      </c>
      <c r="F286" s="165" t="s">
        <v>262</v>
      </c>
      <c r="G286" s="165" t="s">
        <v>263</v>
      </c>
      <c r="H286" s="168">
        <v>200973.37</v>
      </c>
      <c r="I286" s="65">
        <v>200973.37</v>
      </c>
      <c r="J286" s="65"/>
      <c r="K286" s="165"/>
      <c r="L286" s="65">
        <v>200973.37</v>
      </c>
      <c r="M286" s="165"/>
      <c r="N286" s="65"/>
      <c r="O286" s="65"/>
      <c r="P286" s="165"/>
      <c r="Q286" s="65"/>
      <c r="R286" s="65"/>
      <c r="S286" s="65"/>
      <c r="T286" s="65"/>
      <c r="U286" s="65"/>
      <c r="V286" s="65"/>
      <c r="W286" s="65"/>
    </row>
    <row r="287" ht="20.25" customHeight="true" spans="1:23">
      <c r="A287" s="165" t="str">
        <f t="shared" si="8"/>
        <v>       玉溪市急救中心</v>
      </c>
      <c r="B287" s="165" t="s">
        <v>488</v>
      </c>
      <c r="C287" s="165" t="s">
        <v>321</v>
      </c>
      <c r="D287" s="165" t="s">
        <v>139</v>
      </c>
      <c r="E287" s="165" t="s">
        <v>476</v>
      </c>
      <c r="F287" s="165" t="s">
        <v>290</v>
      </c>
      <c r="G287" s="165" t="s">
        <v>193</v>
      </c>
      <c r="H287" s="168">
        <v>2000</v>
      </c>
      <c r="I287" s="65">
        <v>2000</v>
      </c>
      <c r="J287" s="65"/>
      <c r="K287" s="165"/>
      <c r="L287" s="65">
        <v>2000</v>
      </c>
      <c r="M287" s="165"/>
      <c r="N287" s="65"/>
      <c r="O287" s="65"/>
      <c r="P287" s="165"/>
      <c r="Q287" s="65"/>
      <c r="R287" s="65"/>
      <c r="S287" s="65"/>
      <c r="T287" s="65"/>
      <c r="U287" s="65"/>
      <c r="V287" s="65"/>
      <c r="W287" s="65"/>
    </row>
    <row r="288" ht="20.25" customHeight="true" spans="1:23">
      <c r="A288" s="165" t="str">
        <f t="shared" si="8"/>
        <v>       玉溪市急救中心</v>
      </c>
      <c r="B288" s="165" t="s">
        <v>489</v>
      </c>
      <c r="C288" s="165" t="s">
        <v>490</v>
      </c>
      <c r="D288" s="165" t="s">
        <v>139</v>
      </c>
      <c r="E288" s="165" t="s">
        <v>476</v>
      </c>
      <c r="F288" s="165" t="s">
        <v>273</v>
      </c>
      <c r="G288" s="165" t="s">
        <v>274</v>
      </c>
      <c r="H288" s="168">
        <v>5100</v>
      </c>
      <c r="I288" s="65"/>
      <c r="J288" s="65"/>
      <c r="K288" s="165"/>
      <c r="L288" s="65"/>
      <c r="M288" s="165"/>
      <c r="N288" s="65"/>
      <c r="O288" s="65"/>
      <c r="P288" s="165"/>
      <c r="Q288" s="65"/>
      <c r="R288" s="65">
        <v>5100</v>
      </c>
      <c r="S288" s="65"/>
      <c r="T288" s="65"/>
      <c r="U288" s="65"/>
      <c r="V288" s="65"/>
      <c r="W288" s="65">
        <v>5100</v>
      </c>
    </row>
    <row r="289" ht="20.25" customHeight="true" spans="1:23">
      <c r="A289" s="165" t="str">
        <f t="shared" si="8"/>
        <v>       玉溪市急救中心</v>
      </c>
      <c r="B289" s="165" t="s">
        <v>491</v>
      </c>
      <c r="C289" s="165" t="s">
        <v>292</v>
      </c>
      <c r="D289" s="165" t="s">
        <v>139</v>
      </c>
      <c r="E289" s="165" t="s">
        <v>476</v>
      </c>
      <c r="F289" s="165" t="s">
        <v>227</v>
      </c>
      <c r="G289" s="165" t="s">
        <v>228</v>
      </c>
      <c r="H289" s="168">
        <v>2305600</v>
      </c>
      <c r="I289" s="65">
        <v>2305600</v>
      </c>
      <c r="J289" s="65">
        <v>2305600</v>
      </c>
      <c r="K289" s="165"/>
      <c r="L289" s="65"/>
      <c r="M289" s="165"/>
      <c r="N289" s="65"/>
      <c r="O289" s="65"/>
      <c r="P289" s="165"/>
      <c r="Q289" s="65"/>
      <c r="R289" s="65"/>
      <c r="S289" s="65"/>
      <c r="T289" s="65"/>
      <c r="U289" s="65"/>
      <c r="V289" s="65"/>
      <c r="W289" s="65"/>
    </row>
    <row r="290" ht="20.25" customHeight="true" spans="1:23">
      <c r="A290" s="165" t="str">
        <f t="shared" si="8"/>
        <v>       玉溪市急救中心</v>
      </c>
      <c r="B290" s="165" t="s">
        <v>492</v>
      </c>
      <c r="C290" s="165" t="s">
        <v>325</v>
      </c>
      <c r="D290" s="165" t="s">
        <v>139</v>
      </c>
      <c r="E290" s="165" t="s">
        <v>476</v>
      </c>
      <c r="F290" s="165" t="s">
        <v>227</v>
      </c>
      <c r="G290" s="165" t="s">
        <v>228</v>
      </c>
      <c r="H290" s="168">
        <v>1100000</v>
      </c>
      <c r="I290" s="65">
        <v>1100000</v>
      </c>
      <c r="J290" s="65"/>
      <c r="K290" s="165"/>
      <c r="L290" s="65">
        <v>1100000</v>
      </c>
      <c r="M290" s="165"/>
      <c r="N290" s="65"/>
      <c r="O290" s="65"/>
      <c r="P290" s="165"/>
      <c r="Q290" s="65"/>
      <c r="R290" s="65"/>
      <c r="S290" s="65"/>
      <c r="T290" s="65"/>
      <c r="U290" s="65"/>
      <c r="V290" s="65"/>
      <c r="W290" s="65"/>
    </row>
    <row r="291" ht="20.25" customHeight="true" spans="1:23">
      <c r="A291" s="165" t="str">
        <f t="shared" si="8"/>
        <v>       玉溪市急救中心</v>
      </c>
      <c r="B291" s="165" t="s">
        <v>493</v>
      </c>
      <c r="C291" s="165" t="s">
        <v>294</v>
      </c>
      <c r="D291" s="165" t="s">
        <v>139</v>
      </c>
      <c r="E291" s="165" t="s">
        <v>476</v>
      </c>
      <c r="F291" s="165" t="s">
        <v>295</v>
      </c>
      <c r="G291" s="165" t="s">
        <v>257</v>
      </c>
      <c r="H291" s="168">
        <v>1617084</v>
      </c>
      <c r="I291" s="65">
        <v>693600</v>
      </c>
      <c r="J291" s="65">
        <v>173400</v>
      </c>
      <c r="K291" s="165"/>
      <c r="L291" s="65">
        <v>520200</v>
      </c>
      <c r="M291" s="165"/>
      <c r="N291" s="65"/>
      <c r="O291" s="65"/>
      <c r="P291" s="165"/>
      <c r="Q291" s="65"/>
      <c r="R291" s="65">
        <v>923484</v>
      </c>
      <c r="S291" s="65">
        <v>923484</v>
      </c>
      <c r="T291" s="65"/>
      <c r="U291" s="65"/>
      <c r="V291" s="65"/>
      <c r="W291" s="65"/>
    </row>
    <row r="292" ht="20.25" customHeight="true" spans="1:23">
      <c r="A292" s="165" t="str">
        <f t="shared" si="8"/>
        <v>       玉溪市急救中心</v>
      </c>
      <c r="B292" s="165" t="s">
        <v>494</v>
      </c>
      <c r="C292" s="165" t="s">
        <v>306</v>
      </c>
      <c r="D292" s="165" t="s">
        <v>139</v>
      </c>
      <c r="E292" s="165" t="s">
        <v>476</v>
      </c>
      <c r="F292" s="165" t="s">
        <v>312</v>
      </c>
      <c r="G292" s="165" t="s">
        <v>313</v>
      </c>
      <c r="H292" s="168">
        <v>217000</v>
      </c>
      <c r="I292" s="65">
        <v>217000</v>
      </c>
      <c r="J292" s="65"/>
      <c r="K292" s="165"/>
      <c r="L292" s="65">
        <v>217000</v>
      </c>
      <c r="M292" s="165"/>
      <c r="N292" s="65"/>
      <c r="O292" s="65"/>
      <c r="P292" s="165"/>
      <c r="Q292" s="65"/>
      <c r="R292" s="65"/>
      <c r="S292" s="65"/>
      <c r="T292" s="65"/>
      <c r="U292" s="65"/>
      <c r="V292" s="65"/>
      <c r="W292" s="65"/>
    </row>
    <row r="293" ht="20.25" customHeight="true" spans="1:23">
      <c r="A293" s="165" t="str">
        <f t="shared" si="8"/>
        <v>       玉溪市急救中心</v>
      </c>
      <c r="B293" s="165" t="s">
        <v>494</v>
      </c>
      <c r="C293" s="165" t="s">
        <v>306</v>
      </c>
      <c r="D293" s="165" t="s">
        <v>139</v>
      </c>
      <c r="E293" s="165" t="s">
        <v>476</v>
      </c>
      <c r="F293" s="165" t="s">
        <v>314</v>
      </c>
      <c r="G293" s="165" t="s">
        <v>315</v>
      </c>
      <c r="H293" s="168">
        <v>17272.6</v>
      </c>
      <c r="I293" s="65">
        <v>17272.6</v>
      </c>
      <c r="J293" s="65"/>
      <c r="K293" s="165"/>
      <c r="L293" s="65">
        <v>17272.6</v>
      </c>
      <c r="M293" s="165"/>
      <c r="N293" s="65"/>
      <c r="O293" s="65"/>
      <c r="P293" s="165"/>
      <c r="Q293" s="65"/>
      <c r="R293" s="65"/>
      <c r="S293" s="65"/>
      <c r="T293" s="65"/>
      <c r="U293" s="65"/>
      <c r="V293" s="65"/>
      <c r="W293" s="65"/>
    </row>
    <row r="294" ht="20.25" customHeight="true" spans="1:23">
      <c r="A294" s="165" t="str">
        <f t="shared" si="8"/>
        <v>       玉溪市急救中心</v>
      </c>
      <c r="B294" s="165" t="s">
        <v>495</v>
      </c>
      <c r="C294" s="165" t="s">
        <v>330</v>
      </c>
      <c r="D294" s="165" t="s">
        <v>139</v>
      </c>
      <c r="E294" s="165" t="s">
        <v>476</v>
      </c>
      <c r="F294" s="165" t="s">
        <v>331</v>
      </c>
      <c r="G294" s="165" t="s">
        <v>330</v>
      </c>
      <c r="H294" s="168">
        <v>186836.29</v>
      </c>
      <c r="I294" s="65">
        <v>186836.29</v>
      </c>
      <c r="J294" s="65"/>
      <c r="K294" s="165"/>
      <c r="L294" s="65">
        <v>186836.29</v>
      </c>
      <c r="M294" s="165"/>
      <c r="N294" s="65"/>
      <c r="O294" s="65"/>
      <c r="P294" s="165"/>
      <c r="Q294" s="65"/>
      <c r="R294" s="65"/>
      <c r="S294" s="65"/>
      <c r="T294" s="65"/>
      <c r="U294" s="65"/>
      <c r="V294" s="65"/>
      <c r="W294" s="65"/>
    </row>
    <row r="295" ht="20.25" customHeight="true" spans="1:23">
      <c r="A295" s="171" t="s">
        <v>83</v>
      </c>
      <c r="B295" s="165"/>
      <c r="C295" s="165"/>
      <c r="D295" s="165"/>
      <c r="E295" s="165"/>
      <c r="F295" s="165"/>
      <c r="G295" s="165"/>
      <c r="H295" s="168">
        <v>66829689.52</v>
      </c>
      <c r="I295" s="65">
        <v>1500000</v>
      </c>
      <c r="J295" s="65"/>
      <c r="K295" s="165"/>
      <c r="L295" s="65">
        <v>1500000</v>
      </c>
      <c r="M295" s="165"/>
      <c r="N295" s="65"/>
      <c r="O295" s="65"/>
      <c r="P295" s="165"/>
      <c r="Q295" s="65"/>
      <c r="R295" s="65">
        <v>65329689.52</v>
      </c>
      <c r="S295" s="65">
        <v>65329689.52</v>
      </c>
      <c r="T295" s="65"/>
      <c r="U295" s="65"/>
      <c r="V295" s="65"/>
      <c r="W295" s="65"/>
    </row>
    <row r="296" ht="20.25" customHeight="true" spans="1:23">
      <c r="A296" s="165" t="str">
        <f>"       "&amp;"玉溪市儿童医院"</f>
        <v>       玉溪市儿童医院</v>
      </c>
      <c r="B296" s="165" t="s">
        <v>496</v>
      </c>
      <c r="C296" s="165" t="s">
        <v>497</v>
      </c>
      <c r="D296" s="165" t="s">
        <v>131</v>
      </c>
      <c r="E296" s="165" t="s">
        <v>498</v>
      </c>
      <c r="F296" s="165" t="s">
        <v>219</v>
      </c>
      <c r="G296" s="165" t="s">
        <v>220</v>
      </c>
      <c r="H296" s="168">
        <v>41887665.52</v>
      </c>
      <c r="I296" s="65"/>
      <c r="J296" s="65"/>
      <c r="K296" s="165"/>
      <c r="L296" s="65"/>
      <c r="M296" s="165"/>
      <c r="N296" s="65"/>
      <c r="O296" s="65"/>
      <c r="P296" s="165"/>
      <c r="Q296" s="65"/>
      <c r="R296" s="65">
        <v>41887665.52</v>
      </c>
      <c r="S296" s="65">
        <v>41887665.52</v>
      </c>
      <c r="T296" s="65"/>
      <c r="U296" s="65"/>
      <c r="V296" s="65"/>
      <c r="W296" s="65"/>
    </row>
    <row r="297" ht="20.25" customHeight="true" spans="1:23">
      <c r="A297" s="165" t="str">
        <f>"       "&amp;"玉溪市儿童医院"</f>
        <v>       玉溪市儿童医院</v>
      </c>
      <c r="B297" s="165" t="s">
        <v>499</v>
      </c>
      <c r="C297" s="165" t="s">
        <v>294</v>
      </c>
      <c r="D297" s="165" t="s">
        <v>157</v>
      </c>
      <c r="E297" s="165" t="s">
        <v>441</v>
      </c>
      <c r="F297" s="165" t="s">
        <v>295</v>
      </c>
      <c r="G297" s="165" t="s">
        <v>257</v>
      </c>
      <c r="H297" s="168">
        <v>23442024</v>
      </c>
      <c r="I297" s="65"/>
      <c r="J297" s="65"/>
      <c r="K297" s="165"/>
      <c r="L297" s="65"/>
      <c r="M297" s="165"/>
      <c r="N297" s="65"/>
      <c r="O297" s="65"/>
      <c r="P297" s="165"/>
      <c r="Q297" s="65"/>
      <c r="R297" s="65">
        <v>23442024</v>
      </c>
      <c r="S297" s="65">
        <v>23442024</v>
      </c>
      <c r="T297" s="65"/>
      <c r="U297" s="65"/>
      <c r="V297" s="65"/>
      <c r="W297" s="65"/>
    </row>
    <row r="298" ht="20.25" customHeight="true" spans="1:23">
      <c r="A298" s="165" t="str">
        <f>"       "&amp;"玉溪市儿童医院"</f>
        <v>       玉溪市儿童医院</v>
      </c>
      <c r="B298" s="165" t="s">
        <v>500</v>
      </c>
      <c r="C298" s="165" t="s">
        <v>501</v>
      </c>
      <c r="D298" s="165" t="s">
        <v>115</v>
      </c>
      <c r="E298" s="165" t="s">
        <v>231</v>
      </c>
      <c r="F298" s="165" t="s">
        <v>232</v>
      </c>
      <c r="G298" s="165" t="s">
        <v>233</v>
      </c>
      <c r="H298" s="168">
        <v>1262400</v>
      </c>
      <c r="I298" s="65">
        <v>1262400</v>
      </c>
      <c r="J298" s="65"/>
      <c r="K298" s="165"/>
      <c r="L298" s="65">
        <v>1262400</v>
      </c>
      <c r="M298" s="165"/>
      <c r="N298" s="65"/>
      <c r="O298" s="65"/>
      <c r="P298" s="165"/>
      <c r="Q298" s="65"/>
      <c r="R298" s="65"/>
      <c r="S298" s="65"/>
      <c r="T298" s="65"/>
      <c r="U298" s="65"/>
      <c r="V298" s="65"/>
      <c r="W298" s="65"/>
    </row>
    <row r="299" ht="20.25" customHeight="true" spans="1:23">
      <c r="A299" s="165" t="str">
        <f>"       "&amp;"玉溪市儿童医院"</f>
        <v>       玉溪市儿童医院</v>
      </c>
      <c r="B299" s="165" t="s">
        <v>502</v>
      </c>
      <c r="C299" s="165" t="s">
        <v>503</v>
      </c>
      <c r="D299" s="165" t="s">
        <v>114</v>
      </c>
      <c r="E299" s="165" t="s">
        <v>337</v>
      </c>
      <c r="F299" s="165" t="s">
        <v>254</v>
      </c>
      <c r="G299" s="165" t="s">
        <v>255</v>
      </c>
      <c r="H299" s="168">
        <v>237600</v>
      </c>
      <c r="I299" s="65">
        <v>237600</v>
      </c>
      <c r="J299" s="65"/>
      <c r="K299" s="165"/>
      <c r="L299" s="65">
        <v>237600</v>
      </c>
      <c r="M299" s="165"/>
      <c r="N299" s="65"/>
      <c r="O299" s="65"/>
      <c r="P299" s="165"/>
      <c r="Q299" s="65"/>
      <c r="R299" s="65"/>
      <c r="S299" s="65"/>
      <c r="T299" s="65"/>
      <c r="U299" s="65"/>
      <c r="V299" s="65"/>
      <c r="W299" s="65"/>
    </row>
    <row r="300" ht="20.25" customHeight="true" spans="1:23">
      <c r="A300" s="171" t="s">
        <v>85</v>
      </c>
      <c r="B300" s="165"/>
      <c r="C300" s="165"/>
      <c r="D300" s="165"/>
      <c r="E300" s="165"/>
      <c r="F300" s="165"/>
      <c r="G300" s="165"/>
      <c r="H300" s="168">
        <v>114378295.15</v>
      </c>
      <c r="I300" s="65">
        <v>24670000</v>
      </c>
      <c r="J300" s="65"/>
      <c r="K300" s="165"/>
      <c r="L300" s="65">
        <v>24670000</v>
      </c>
      <c r="M300" s="165"/>
      <c r="N300" s="65"/>
      <c r="O300" s="65"/>
      <c r="P300" s="165"/>
      <c r="Q300" s="65"/>
      <c r="R300" s="65">
        <v>89708295.15</v>
      </c>
      <c r="S300" s="65">
        <v>89708295.15</v>
      </c>
      <c r="T300" s="65"/>
      <c r="U300" s="65"/>
      <c r="V300" s="65"/>
      <c r="W300" s="65"/>
    </row>
    <row r="301" ht="20.25" customHeight="true" spans="1:23">
      <c r="A301" s="165" t="str">
        <f t="shared" ref="A301:A323" si="9">"       "&amp;"玉溪市中山医院（玉溪市人民医院抚仙湖院区）"</f>
        <v>       玉溪市中山医院（玉溪市人民医院抚仙湖院区）</v>
      </c>
      <c r="B301" s="165" t="s">
        <v>504</v>
      </c>
      <c r="C301" s="165" t="s">
        <v>505</v>
      </c>
      <c r="D301" s="165" t="s">
        <v>118</v>
      </c>
      <c r="E301" s="165" t="s">
        <v>457</v>
      </c>
      <c r="F301" s="165" t="s">
        <v>254</v>
      </c>
      <c r="G301" s="165" t="s">
        <v>255</v>
      </c>
      <c r="H301" s="168">
        <v>99800</v>
      </c>
      <c r="I301" s="65">
        <v>99800</v>
      </c>
      <c r="J301" s="65"/>
      <c r="K301" s="165"/>
      <c r="L301" s="65">
        <v>99800</v>
      </c>
      <c r="M301" s="165"/>
      <c r="N301" s="65"/>
      <c r="O301" s="65"/>
      <c r="P301" s="165"/>
      <c r="Q301" s="65"/>
      <c r="R301" s="65"/>
      <c r="S301" s="65"/>
      <c r="T301" s="65"/>
      <c r="U301" s="65"/>
      <c r="V301" s="65"/>
      <c r="W301" s="65"/>
    </row>
    <row r="302" ht="20.25" customHeight="true" spans="1:23">
      <c r="A302" s="165" t="str">
        <f t="shared" si="9"/>
        <v>       玉溪市中山医院（玉溪市人民医院抚仙湖院区）</v>
      </c>
      <c r="B302" s="165" t="s">
        <v>506</v>
      </c>
      <c r="C302" s="165" t="s">
        <v>507</v>
      </c>
      <c r="D302" s="165" t="s">
        <v>114</v>
      </c>
      <c r="E302" s="165" t="s">
        <v>337</v>
      </c>
      <c r="F302" s="165" t="s">
        <v>508</v>
      </c>
      <c r="G302" s="165" t="s">
        <v>509</v>
      </c>
      <c r="H302" s="168">
        <v>3960000</v>
      </c>
      <c r="I302" s="65">
        <v>3960000</v>
      </c>
      <c r="J302" s="65"/>
      <c r="K302" s="165"/>
      <c r="L302" s="65">
        <v>3960000</v>
      </c>
      <c r="M302" s="165"/>
      <c r="N302" s="65"/>
      <c r="O302" s="65"/>
      <c r="P302" s="165"/>
      <c r="Q302" s="65"/>
      <c r="R302" s="65"/>
      <c r="S302" s="65"/>
      <c r="T302" s="65"/>
      <c r="U302" s="65"/>
      <c r="V302" s="65"/>
      <c r="W302" s="65"/>
    </row>
    <row r="303" ht="20.25" customHeight="true" spans="1:23">
      <c r="A303" s="165" t="str">
        <f t="shared" si="9"/>
        <v>       玉溪市中山医院（玉溪市人民医院抚仙湖院区）</v>
      </c>
      <c r="B303" s="165" t="s">
        <v>510</v>
      </c>
      <c r="C303" s="165" t="s">
        <v>511</v>
      </c>
      <c r="D303" s="165" t="s">
        <v>128</v>
      </c>
      <c r="E303" s="165" t="s">
        <v>424</v>
      </c>
      <c r="F303" s="165" t="s">
        <v>219</v>
      </c>
      <c r="G303" s="165" t="s">
        <v>220</v>
      </c>
      <c r="H303" s="168">
        <v>46383331.21</v>
      </c>
      <c r="I303" s="65"/>
      <c r="J303" s="65"/>
      <c r="K303" s="165"/>
      <c r="L303" s="65"/>
      <c r="M303" s="165"/>
      <c r="N303" s="65"/>
      <c r="O303" s="65"/>
      <c r="P303" s="165"/>
      <c r="Q303" s="65"/>
      <c r="R303" s="65">
        <v>46383331.21</v>
      </c>
      <c r="S303" s="65">
        <v>46383331.21</v>
      </c>
      <c r="T303" s="65"/>
      <c r="U303" s="65"/>
      <c r="V303" s="65"/>
      <c r="W303" s="65"/>
    </row>
    <row r="304" ht="20.25" customHeight="true" spans="1:23">
      <c r="A304" s="165" t="str">
        <f t="shared" si="9"/>
        <v>       玉溪市中山医院（玉溪市人民医院抚仙湖院区）</v>
      </c>
      <c r="B304" s="165" t="s">
        <v>512</v>
      </c>
      <c r="C304" s="165" t="s">
        <v>513</v>
      </c>
      <c r="D304" s="165" t="s">
        <v>115</v>
      </c>
      <c r="E304" s="165" t="s">
        <v>231</v>
      </c>
      <c r="F304" s="165" t="s">
        <v>232</v>
      </c>
      <c r="G304" s="165" t="s">
        <v>233</v>
      </c>
      <c r="H304" s="168">
        <v>2444817.68</v>
      </c>
      <c r="I304" s="65"/>
      <c r="J304" s="65"/>
      <c r="K304" s="165"/>
      <c r="L304" s="65"/>
      <c r="M304" s="165"/>
      <c r="N304" s="65"/>
      <c r="O304" s="65"/>
      <c r="P304" s="165"/>
      <c r="Q304" s="65"/>
      <c r="R304" s="65">
        <v>2444817.68</v>
      </c>
      <c r="S304" s="65">
        <v>2444817.68</v>
      </c>
      <c r="T304" s="65"/>
      <c r="U304" s="65"/>
      <c r="V304" s="65"/>
      <c r="W304" s="65"/>
    </row>
    <row r="305" ht="20.25" customHeight="true" spans="1:23">
      <c r="A305" s="165" t="str">
        <f t="shared" si="9"/>
        <v>       玉溪市中山医院（玉溪市人民医院抚仙湖院区）</v>
      </c>
      <c r="B305" s="165" t="s">
        <v>512</v>
      </c>
      <c r="C305" s="165" t="s">
        <v>513</v>
      </c>
      <c r="D305" s="165" t="s">
        <v>116</v>
      </c>
      <c r="E305" s="165" t="s">
        <v>298</v>
      </c>
      <c r="F305" s="165" t="s">
        <v>299</v>
      </c>
      <c r="G305" s="165" t="s">
        <v>300</v>
      </c>
      <c r="H305" s="168">
        <v>1412556.52</v>
      </c>
      <c r="I305" s="65"/>
      <c r="J305" s="65"/>
      <c r="K305" s="165"/>
      <c r="L305" s="65"/>
      <c r="M305" s="165"/>
      <c r="N305" s="65"/>
      <c r="O305" s="65"/>
      <c r="P305" s="165"/>
      <c r="Q305" s="65"/>
      <c r="R305" s="65">
        <v>1412556.52</v>
      </c>
      <c r="S305" s="65">
        <v>1412556.52</v>
      </c>
      <c r="T305" s="65"/>
      <c r="U305" s="65"/>
      <c r="V305" s="65"/>
      <c r="W305" s="65"/>
    </row>
    <row r="306" ht="20.25" customHeight="true" spans="1:23">
      <c r="A306" s="165" t="str">
        <f t="shared" si="9"/>
        <v>       玉溪市中山医院（玉溪市人民医院抚仙湖院区）</v>
      </c>
      <c r="B306" s="165" t="s">
        <v>512</v>
      </c>
      <c r="C306" s="165" t="s">
        <v>513</v>
      </c>
      <c r="D306" s="165" t="s">
        <v>128</v>
      </c>
      <c r="E306" s="165" t="s">
        <v>424</v>
      </c>
      <c r="F306" s="165" t="s">
        <v>295</v>
      </c>
      <c r="G306" s="165" t="s">
        <v>257</v>
      </c>
      <c r="H306" s="168">
        <v>106963.55</v>
      </c>
      <c r="I306" s="65"/>
      <c r="J306" s="65"/>
      <c r="K306" s="165"/>
      <c r="L306" s="65"/>
      <c r="M306" s="165"/>
      <c r="N306" s="65"/>
      <c r="O306" s="65"/>
      <c r="P306" s="165"/>
      <c r="Q306" s="65"/>
      <c r="R306" s="65">
        <v>106963.55</v>
      </c>
      <c r="S306" s="65">
        <v>106963.55</v>
      </c>
      <c r="T306" s="65"/>
      <c r="U306" s="65"/>
      <c r="V306" s="65"/>
      <c r="W306" s="65"/>
    </row>
    <row r="307" ht="20.25" customHeight="true" spans="1:23">
      <c r="A307" s="165" t="str">
        <f t="shared" si="9"/>
        <v>       玉溪市中山医院（玉溪市人民医院抚仙湖院区）</v>
      </c>
      <c r="B307" s="165" t="s">
        <v>512</v>
      </c>
      <c r="C307" s="165" t="s">
        <v>513</v>
      </c>
      <c r="D307" s="165" t="s">
        <v>148</v>
      </c>
      <c r="E307" s="165" t="s">
        <v>241</v>
      </c>
      <c r="F307" s="165" t="s">
        <v>237</v>
      </c>
      <c r="G307" s="165" t="s">
        <v>238</v>
      </c>
      <c r="H307" s="168">
        <v>1268247.35</v>
      </c>
      <c r="I307" s="65"/>
      <c r="J307" s="65"/>
      <c r="K307" s="165"/>
      <c r="L307" s="65"/>
      <c r="M307" s="165"/>
      <c r="N307" s="65"/>
      <c r="O307" s="65"/>
      <c r="P307" s="165"/>
      <c r="Q307" s="65"/>
      <c r="R307" s="65">
        <v>1268247.35</v>
      </c>
      <c r="S307" s="65">
        <v>1268247.35</v>
      </c>
      <c r="T307" s="65"/>
      <c r="U307" s="65"/>
      <c r="V307" s="65"/>
      <c r="W307" s="65"/>
    </row>
    <row r="308" ht="20.25" customHeight="true" spans="1:23">
      <c r="A308" s="165" t="str">
        <f t="shared" si="9"/>
        <v>       玉溪市中山医院（玉溪市人民医院抚仙湖院区）</v>
      </c>
      <c r="B308" s="165" t="s">
        <v>512</v>
      </c>
      <c r="C308" s="165" t="s">
        <v>513</v>
      </c>
      <c r="D308" s="165" t="s">
        <v>149</v>
      </c>
      <c r="E308" s="165" t="s">
        <v>242</v>
      </c>
      <c r="F308" s="165" t="s">
        <v>243</v>
      </c>
      <c r="G308" s="165" t="s">
        <v>244</v>
      </c>
      <c r="H308" s="168">
        <v>1251508.15</v>
      </c>
      <c r="I308" s="65"/>
      <c r="J308" s="65"/>
      <c r="K308" s="165"/>
      <c r="L308" s="65"/>
      <c r="M308" s="165"/>
      <c r="N308" s="65"/>
      <c r="O308" s="65"/>
      <c r="P308" s="165"/>
      <c r="Q308" s="65"/>
      <c r="R308" s="65">
        <v>1251508.15</v>
      </c>
      <c r="S308" s="65">
        <v>1251508.15</v>
      </c>
      <c r="T308" s="65"/>
      <c r="U308" s="65"/>
      <c r="V308" s="65"/>
      <c r="W308" s="65"/>
    </row>
    <row r="309" ht="20.25" customHeight="true" spans="1:23">
      <c r="A309" s="165" t="str">
        <f t="shared" si="9"/>
        <v>       玉溪市中山医院（玉溪市人民医院抚仙湖院区）</v>
      </c>
      <c r="B309" s="165" t="s">
        <v>512</v>
      </c>
      <c r="C309" s="165" t="s">
        <v>513</v>
      </c>
      <c r="D309" s="165" t="s">
        <v>150</v>
      </c>
      <c r="E309" s="165" t="s">
        <v>245</v>
      </c>
      <c r="F309" s="165" t="s">
        <v>234</v>
      </c>
      <c r="G309" s="165" t="s">
        <v>235</v>
      </c>
      <c r="H309" s="168">
        <v>53196.69</v>
      </c>
      <c r="I309" s="65"/>
      <c r="J309" s="65"/>
      <c r="K309" s="165"/>
      <c r="L309" s="65"/>
      <c r="M309" s="165"/>
      <c r="N309" s="65"/>
      <c r="O309" s="65"/>
      <c r="P309" s="165"/>
      <c r="Q309" s="65"/>
      <c r="R309" s="65">
        <v>53196.69</v>
      </c>
      <c r="S309" s="65">
        <v>53196.69</v>
      </c>
      <c r="T309" s="65"/>
      <c r="U309" s="65"/>
      <c r="V309" s="65"/>
      <c r="W309" s="65"/>
    </row>
    <row r="310" ht="20.25" customHeight="true" spans="1:23">
      <c r="A310" s="165" t="str">
        <f t="shared" si="9"/>
        <v>       玉溪市中山医院（玉溪市人民医院抚仙湖院区）</v>
      </c>
      <c r="B310" s="165" t="s">
        <v>514</v>
      </c>
      <c r="C310" s="165" t="s">
        <v>515</v>
      </c>
      <c r="D310" s="165" t="s">
        <v>160</v>
      </c>
      <c r="E310" s="165" t="s">
        <v>247</v>
      </c>
      <c r="F310" s="165" t="s">
        <v>248</v>
      </c>
      <c r="G310" s="165" t="s">
        <v>247</v>
      </c>
      <c r="H310" s="168">
        <v>5269234</v>
      </c>
      <c r="I310" s="65"/>
      <c r="J310" s="65"/>
      <c r="K310" s="165"/>
      <c r="L310" s="65"/>
      <c r="M310" s="165"/>
      <c r="N310" s="65"/>
      <c r="O310" s="65"/>
      <c r="P310" s="165"/>
      <c r="Q310" s="65"/>
      <c r="R310" s="65">
        <v>5269234</v>
      </c>
      <c r="S310" s="65">
        <v>5269234</v>
      </c>
      <c r="T310" s="65"/>
      <c r="U310" s="65"/>
      <c r="V310" s="65"/>
      <c r="W310" s="65"/>
    </row>
    <row r="311" ht="20.25" customHeight="true" spans="1:23">
      <c r="A311" s="165" t="str">
        <f t="shared" si="9"/>
        <v>       玉溪市中山医院（玉溪市人民医院抚仙湖院区）</v>
      </c>
      <c r="B311" s="165" t="s">
        <v>516</v>
      </c>
      <c r="C311" s="165" t="s">
        <v>517</v>
      </c>
      <c r="D311" s="165" t="s">
        <v>128</v>
      </c>
      <c r="E311" s="165" t="s">
        <v>424</v>
      </c>
      <c r="F311" s="165" t="s">
        <v>295</v>
      </c>
      <c r="G311" s="165" t="s">
        <v>257</v>
      </c>
      <c r="H311" s="168">
        <v>29653440</v>
      </c>
      <c r="I311" s="65"/>
      <c r="J311" s="65"/>
      <c r="K311" s="165"/>
      <c r="L311" s="65"/>
      <c r="M311" s="165"/>
      <c r="N311" s="65"/>
      <c r="O311" s="65"/>
      <c r="P311" s="165"/>
      <c r="Q311" s="65"/>
      <c r="R311" s="65">
        <v>29653440</v>
      </c>
      <c r="S311" s="65">
        <v>29653440</v>
      </c>
      <c r="T311" s="65"/>
      <c r="U311" s="65"/>
      <c r="V311" s="65"/>
      <c r="W311" s="65"/>
    </row>
    <row r="312" ht="20.25" customHeight="true" spans="1:23">
      <c r="A312" s="165" t="str">
        <f t="shared" si="9"/>
        <v>       玉溪市中山医院（玉溪市人民医院抚仙湖院区）</v>
      </c>
      <c r="B312" s="165" t="s">
        <v>518</v>
      </c>
      <c r="C312" s="165" t="s">
        <v>519</v>
      </c>
      <c r="D312" s="165" t="s">
        <v>115</v>
      </c>
      <c r="E312" s="165" t="s">
        <v>231</v>
      </c>
      <c r="F312" s="165" t="s">
        <v>232</v>
      </c>
      <c r="G312" s="165" t="s">
        <v>233</v>
      </c>
      <c r="H312" s="168">
        <v>2662067.52</v>
      </c>
      <c r="I312" s="65">
        <v>2662067.52</v>
      </c>
      <c r="J312" s="65"/>
      <c r="K312" s="165"/>
      <c r="L312" s="65">
        <v>2662067.52</v>
      </c>
      <c r="M312" s="165"/>
      <c r="N312" s="65"/>
      <c r="O312" s="65"/>
      <c r="P312" s="165"/>
      <c r="Q312" s="65"/>
      <c r="R312" s="65"/>
      <c r="S312" s="65"/>
      <c r="T312" s="65"/>
      <c r="U312" s="65"/>
      <c r="V312" s="65"/>
      <c r="W312" s="65"/>
    </row>
    <row r="313" ht="20.25" customHeight="true" spans="1:23">
      <c r="A313" s="165" t="str">
        <f t="shared" si="9"/>
        <v>       玉溪市中山医院（玉溪市人民医院抚仙湖院区）</v>
      </c>
      <c r="B313" s="165" t="s">
        <v>518</v>
      </c>
      <c r="C313" s="165" t="s">
        <v>519</v>
      </c>
      <c r="D313" s="165" t="s">
        <v>116</v>
      </c>
      <c r="E313" s="165" t="s">
        <v>298</v>
      </c>
      <c r="F313" s="165" t="s">
        <v>299</v>
      </c>
      <c r="G313" s="165" t="s">
        <v>300</v>
      </c>
      <c r="H313" s="168">
        <v>1140886.08</v>
      </c>
      <c r="I313" s="65">
        <v>1140886.08</v>
      </c>
      <c r="J313" s="65"/>
      <c r="K313" s="165"/>
      <c r="L313" s="65">
        <v>1140886.08</v>
      </c>
      <c r="M313" s="165"/>
      <c r="N313" s="65"/>
      <c r="O313" s="65"/>
      <c r="P313" s="165"/>
      <c r="Q313" s="65"/>
      <c r="R313" s="65"/>
      <c r="S313" s="65"/>
      <c r="T313" s="65"/>
      <c r="U313" s="65"/>
      <c r="V313" s="65"/>
      <c r="W313" s="65"/>
    </row>
    <row r="314" ht="20.25" customHeight="true" spans="1:23">
      <c r="A314" s="165" t="str">
        <f t="shared" si="9"/>
        <v>       玉溪市中山医院（玉溪市人民医院抚仙湖院区）</v>
      </c>
      <c r="B314" s="165" t="s">
        <v>518</v>
      </c>
      <c r="C314" s="165" t="s">
        <v>519</v>
      </c>
      <c r="D314" s="165" t="s">
        <v>128</v>
      </c>
      <c r="E314" s="165" t="s">
        <v>424</v>
      </c>
      <c r="F314" s="165" t="s">
        <v>234</v>
      </c>
      <c r="G314" s="165" t="s">
        <v>235</v>
      </c>
      <c r="H314" s="168">
        <v>116466.7</v>
      </c>
      <c r="I314" s="65">
        <v>116466.7</v>
      </c>
      <c r="J314" s="65"/>
      <c r="K314" s="165"/>
      <c r="L314" s="65">
        <v>116466.7</v>
      </c>
      <c r="M314" s="165"/>
      <c r="N314" s="65"/>
      <c r="O314" s="65"/>
      <c r="P314" s="165"/>
      <c r="Q314" s="65"/>
      <c r="R314" s="65"/>
      <c r="S314" s="65"/>
      <c r="T314" s="65"/>
      <c r="U314" s="65"/>
      <c r="V314" s="65"/>
      <c r="W314" s="65"/>
    </row>
    <row r="315" ht="20.25" customHeight="true" spans="1:23">
      <c r="A315" s="165" t="str">
        <f t="shared" si="9"/>
        <v>       玉溪市中山医院（玉溪市人民医院抚仙湖院区）</v>
      </c>
      <c r="B315" s="165" t="s">
        <v>518</v>
      </c>
      <c r="C315" s="165" t="s">
        <v>519</v>
      </c>
      <c r="D315" s="165" t="s">
        <v>148</v>
      </c>
      <c r="E315" s="165" t="s">
        <v>241</v>
      </c>
      <c r="F315" s="165" t="s">
        <v>237</v>
      </c>
      <c r="G315" s="165" t="s">
        <v>238</v>
      </c>
      <c r="H315" s="168">
        <v>1380948.45</v>
      </c>
      <c r="I315" s="65">
        <v>1380948.45</v>
      </c>
      <c r="J315" s="65"/>
      <c r="K315" s="165"/>
      <c r="L315" s="65">
        <v>1380948.45</v>
      </c>
      <c r="M315" s="165"/>
      <c r="N315" s="65"/>
      <c r="O315" s="65"/>
      <c r="P315" s="165"/>
      <c r="Q315" s="65"/>
      <c r="R315" s="65"/>
      <c r="S315" s="65"/>
      <c r="T315" s="65"/>
      <c r="U315" s="65"/>
      <c r="V315" s="65"/>
      <c r="W315" s="65"/>
    </row>
    <row r="316" ht="20.25" customHeight="true" spans="1:23">
      <c r="A316" s="165" t="str">
        <f t="shared" si="9"/>
        <v>       玉溪市中山医院（玉溪市人民医院抚仙湖院区）</v>
      </c>
      <c r="B316" s="165" t="s">
        <v>518</v>
      </c>
      <c r="C316" s="165" t="s">
        <v>519</v>
      </c>
      <c r="D316" s="165" t="s">
        <v>149</v>
      </c>
      <c r="E316" s="165" t="s">
        <v>242</v>
      </c>
      <c r="F316" s="165" t="s">
        <v>243</v>
      </c>
      <c r="G316" s="165" t="s">
        <v>244</v>
      </c>
      <c r="H316" s="168">
        <v>831896.1</v>
      </c>
      <c r="I316" s="65">
        <v>831896.1</v>
      </c>
      <c r="J316" s="65"/>
      <c r="K316" s="165"/>
      <c r="L316" s="65">
        <v>831896.1</v>
      </c>
      <c r="M316" s="165"/>
      <c r="N316" s="65"/>
      <c r="O316" s="65"/>
      <c r="P316" s="165"/>
      <c r="Q316" s="65"/>
      <c r="R316" s="65"/>
      <c r="S316" s="65"/>
      <c r="T316" s="65"/>
      <c r="U316" s="65"/>
      <c r="V316" s="65"/>
      <c r="W316" s="65"/>
    </row>
    <row r="317" ht="20.25" customHeight="true" spans="1:23">
      <c r="A317" s="165" t="str">
        <f t="shared" si="9"/>
        <v>       玉溪市中山医院（玉溪市人民医院抚仙湖院区）</v>
      </c>
      <c r="B317" s="165" t="s">
        <v>518</v>
      </c>
      <c r="C317" s="165" t="s">
        <v>519</v>
      </c>
      <c r="D317" s="165" t="s">
        <v>150</v>
      </c>
      <c r="E317" s="165" t="s">
        <v>245</v>
      </c>
      <c r="F317" s="165" t="s">
        <v>234</v>
      </c>
      <c r="G317" s="165" t="s">
        <v>235</v>
      </c>
      <c r="H317" s="168">
        <v>74475.36</v>
      </c>
      <c r="I317" s="65">
        <v>74475.36</v>
      </c>
      <c r="J317" s="65"/>
      <c r="K317" s="165"/>
      <c r="L317" s="65">
        <v>74475.36</v>
      </c>
      <c r="M317" s="165"/>
      <c r="N317" s="65"/>
      <c r="O317" s="65"/>
      <c r="P317" s="165"/>
      <c r="Q317" s="65"/>
      <c r="R317" s="65"/>
      <c r="S317" s="65"/>
      <c r="T317" s="65"/>
      <c r="U317" s="65"/>
      <c r="V317" s="65"/>
      <c r="W317" s="65"/>
    </row>
    <row r="318" ht="20.25" customHeight="true" spans="1:23">
      <c r="A318" s="165" t="str">
        <f t="shared" si="9"/>
        <v>       玉溪市中山医院（玉溪市人民医院抚仙湖院区）</v>
      </c>
      <c r="B318" s="165" t="s">
        <v>520</v>
      </c>
      <c r="C318" s="165" t="s">
        <v>521</v>
      </c>
      <c r="D318" s="165" t="s">
        <v>160</v>
      </c>
      <c r="E318" s="165" t="s">
        <v>247</v>
      </c>
      <c r="F318" s="165" t="s">
        <v>248</v>
      </c>
      <c r="G318" s="165" t="s">
        <v>247</v>
      </c>
      <c r="H318" s="168">
        <v>5418560</v>
      </c>
      <c r="I318" s="65">
        <v>5418560</v>
      </c>
      <c r="J318" s="65"/>
      <c r="K318" s="165"/>
      <c r="L318" s="65">
        <v>5418560</v>
      </c>
      <c r="M318" s="165"/>
      <c r="N318" s="65"/>
      <c r="O318" s="65"/>
      <c r="P318" s="165"/>
      <c r="Q318" s="65"/>
      <c r="R318" s="65"/>
      <c r="S318" s="65"/>
      <c r="T318" s="65"/>
      <c r="U318" s="65"/>
      <c r="V318" s="65"/>
      <c r="W318" s="65"/>
    </row>
    <row r="319" ht="20.25" customHeight="true" spans="1:23">
      <c r="A319" s="165" t="str">
        <f t="shared" si="9"/>
        <v>       玉溪市中山医院（玉溪市人民医院抚仙湖院区）</v>
      </c>
      <c r="B319" s="165" t="s">
        <v>522</v>
      </c>
      <c r="C319" s="165" t="s">
        <v>523</v>
      </c>
      <c r="D319" s="165" t="s">
        <v>128</v>
      </c>
      <c r="E319" s="165" t="s">
        <v>424</v>
      </c>
      <c r="F319" s="165" t="s">
        <v>219</v>
      </c>
      <c r="G319" s="165" t="s">
        <v>220</v>
      </c>
      <c r="H319" s="168">
        <v>8884899.79</v>
      </c>
      <c r="I319" s="65">
        <v>8884899.79</v>
      </c>
      <c r="J319" s="65"/>
      <c r="K319" s="165"/>
      <c r="L319" s="65">
        <v>8884899.79</v>
      </c>
      <c r="M319" s="165"/>
      <c r="N319" s="65"/>
      <c r="O319" s="65"/>
      <c r="P319" s="165"/>
      <c r="Q319" s="65"/>
      <c r="R319" s="65"/>
      <c r="S319" s="65"/>
      <c r="T319" s="65"/>
      <c r="U319" s="65"/>
      <c r="V319" s="65"/>
      <c r="W319" s="65"/>
    </row>
    <row r="320" ht="20.25" customHeight="true" spans="1:23">
      <c r="A320" s="165" t="str">
        <f t="shared" si="9"/>
        <v>       玉溪市中山医院（玉溪市人民医院抚仙湖院区）</v>
      </c>
      <c r="B320" s="165" t="s">
        <v>524</v>
      </c>
      <c r="C320" s="165" t="s">
        <v>525</v>
      </c>
      <c r="D320" s="165" t="s">
        <v>118</v>
      </c>
      <c r="E320" s="165" t="s">
        <v>457</v>
      </c>
      <c r="F320" s="165" t="s">
        <v>458</v>
      </c>
      <c r="G320" s="165" t="s">
        <v>459</v>
      </c>
      <c r="H320" s="168">
        <v>100000</v>
      </c>
      <c r="I320" s="65">
        <v>100000</v>
      </c>
      <c r="J320" s="65"/>
      <c r="K320" s="165"/>
      <c r="L320" s="65">
        <v>100000</v>
      </c>
      <c r="M320" s="165"/>
      <c r="N320" s="65"/>
      <c r="O320" s="65"/>
      <c r="P320" s="165"/>
      <c r="Q320" s="65"/>
      <c r="R320" s="65"/>
      <c r="S320" s="65"/>
      <c r="T320" s="65"/>
      <c r="U320" s="65"/>
      <c r="V320" s="65"/>
      <c r="W320" s="65"/>
    </row>
    <row r="321" ht="20.25" customHeight="true" spans="1:23">
      <c r="A321" s="165" t="str">
        <f t="shared" si="9"/>
        <v>       玉溪市中山医院（玉溪市人民医院抚仙湖院区）</v>
      </c>
      <c r="B321" s="165" t="s">
        <v>526</v>
      </c>
      <c r="C321" s="165" t="s">
        <v>527</v>
      </c>
      <c r="D321" s="165" t="s">
        <v>128</v>
      </c>
      <c r="E321" s="165" t="s">
        <v>424</v>
      </c>
      <c r="F321" s="165" t="s">
        <v>234</v>
      </c>
      <c r="G321" s="165" t="s">
        <v>235</v>
      </c>
      <c r="H321" s="168">
        <v>265000</v>
      </c>
      <c r="I321" s="65"/>
      <c r="J321" s="65"/>
      <c r="K321" s="165"/>
      <c r="L321" s="65"/>
      <c r="M321" s="165"/>
      <c r="N321" s="65"/>
      <c r="O321" s="65"/>
      <c r="P321" s="165"/>
      <c r="Q321" s="65"/>
      <c r="R321" s="65">
        <v>265000</v>
      </c>
      <c r="S321" s="65">
        <v>265000</v>
      </c>
      <c r="T321" s="65"/>
      <c r="U321" s="65"/>
      <c r="V321" s="65"/>
      <c r="W321" s="65"/>
    </row>
    <row r="322" ht="20.25" customHeight="true" spans="1:23">
      <c r="A322" s="165" t="str">
        <f t="shared" si="9"/>
        <v>       玉溪市中山医院（玉溪市人民医院抚仙湖院区）</v>
      </c>
      <c r="B322" s="165" t="s">
        <v>528</v>
      </c>
      <c r="C322" s="165" t="s">
        <v>529</v>
      </c>
      <c r="D322" s="165" t="s">
        <v>128</v>
      </c>
      <c r="E322" s="165" t="s">
        <v>424</v>
      </c>
      <c r="F322" s="165" t="s">
        <v>219</v>
      </c>
      <c r="G322" s="165" t="s">
        <v>220</v>
      </c>
      <c r="H322" s="168">
        <v>390000</v>
      </c>
      <c r="I322" s="65"/>
      <c r="J322" s="65"/>
      <c r="K322" s="165"/>
      <c r="L322" s="65"/>
      <c r="M322" s="165"/>
      <c r="N322" s="65"/>
      <c r="O322" s="65"/>
      <c r="P322" s="165"/>
      <c r="Q322" s="65"/>
      <c r="R322" s="65">
        <v>390000</v>
      </c>
      <c r="S322" s="65">
        <v>390000</v>
      </c>
      <c r="T322" s="65"/>
      <c r="U322" s="65"/>
      <c r="V322" s="65"/>
      <c r="W322" s="65"/>
    </row>
    <row r="323" ht="20.25" customHeight="true" spans="1:23">
      <c r="A323" s="165" t="str">
        <f t="shared" si="9"/>
        <v>       玉溪市中山医院（玉溪市人民医院抚仙湖院区）</v>
      </c>
      <c r="B323" s="165" t="s">
        <v>528</v>
      </c>
      <c r="C323" s="165" t="s">
        <v>529</v>
      </c>
      <c r="D323" s="165" t="s">
        <v>128</v>
      </c>
      <c r="E323" s="165" t="s">
        <v>424</v>
      </c>
      <c r="F323" s="165" t="s">
        <v>295</v>
      </c>
      <c r="G323" s="165" t="s">
        <v>257</v>
      </c>
      <c r="H323" s="168">
        <v>1210000</v>
      </c>
      <c r="I323" s="65"/>
      <c r="J323" s="65"/>
      <c r="K323" s="165"/>
      <c r="L323" s="65"/>
      <c r="M323" s="165"/>
      <c r="N323" s="65"/>
      <c r="O323" s="65"/>
      <c r="P323" s="165"/>
      <c r="Q323" s="65"/>
      <c r="R323" s="65">
        <v>1210000</v>
      </c>
      <c r="S323" s="65">
        <v>1210000</v>
      </c>
      <c r="T323" s="65"/>
      <c r="U323" s="65"/>
      <c r="V323" s="65"/>
      <c r="W323" s="65"/>
    </row>
    <row r="324" ht="20.25" customHeight="true" spans="1:23">
      <c r="A324" s="172" t="s">
        <v>30</v>
      </c>
      <c r="B324" s="172"/>
      <c r="C324" s="172"/>
      <c r="D324" s="172"/>
      <c r="E324" s="172"/>
      <c r="F324" s="172"/>
      <c r="G324" s="172"/>
      <c r="H324" s="65">
        <v>1148245177.78</v>
      </c>
      <c r="I324" s="65">
        <v>169039036.33</v>
      </c>
      <c r="J324" s="65">
        <v>43590152.61</v>
      </c>
      <c r="K324" s="65"/>
      <c r="L324" s="65">
        <v>125448883.72</v>
      </c>
      <c r="M324" s="65"/>
      <c r="N324" s="65"/>
      <c r="O324" s="65"/>
      <c r="P324" s="65"/>
      <c r="Q324" s="65"/>
      <c r="R324" s="65">
        <v>979206141.45</v>
      </c>
      <c r="S324" s="65">
        <v>979201041.45</v>
      </c>
      <c r="T324" s="65"/>
      <c r="U324" s="65"/>
      <c r="V324" s="65"/>
      <c r="W324" s="65">
        <v>5100</v>
      </c>
    </row>
  </sheetData>
  <mergeCells count="17">
    <mergeCell ref="A1:W1"/>
    <mergeCell ref="A2:W2"/>
    <mergeCell ref="A3:V3"/>
    <mergeCell ref="H4:W4"/>
    <mergeCell ref="I5:M5"/>
    <mergeCell ref="N5:P5"/>
    <mergeCell ref="R5:W5"/>
    <mergeCell ref="A324:G324"/>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W742"/>
  <sheetViews>
    <sheetView showZeros="0" tabSelected="1" workbookViewId="0">
      <selection activeCell="C27" sqref="C27"/>
    </sheetView>
  </sheetViews>
  <sheetFormatPr defaultColWidth="9.14166666666667" defaultRowHeight="14.25" customHeight="true"/>
  <cols>
    <col min="1" max="1" width="14.575" customWidth="true"/>
    <col min="2" max="2" width="21.0333333333333" customWidth="true"/>
    <col min="3" max="3" width="31.3166666666667" customWidth="true"/>
    <col min="4" max="4" width="23.85" customWidth="true"/>
    <col min="5" max="5" width="15.6" customWidth="true"/>
    <col min="6" max="6" width="19.7416666666667" customWidth="true"/>
    <col min="7" max="7" width="14.8833333333333" customWidth="true"/>
    <col min="8" max="8" width="19.7416666666667" customWidth="true"/>
    <col min="9" max="16" width="14.175" customWidth="true"/>
    <col min="17" max="17" width="13.6" customWidth="true"/>
    <col min="18" max="23" width="15.175" customWidth="true"/>
  </cols>
  <sheetData>
    <row r="1" ht="13.5" customHeight="true" spans="2:23">
      <c r="B1" s="141"/>
      <c r="E1" s="156"/>
      <c r="F1" s="156"/>
      <c r="G1" s="156"/>
      <c r="H1" s="156"/>
      <c r="K1" s="141"/>
      <c r="N1" s="141"/>
      <c r="O1" s="141"/>
      <c r="P1" s="141"/>
      <c r="U1" s="158"/>
      <c r="W1" s="147" t="s">
        <v>530</v>
      </c>
    </row>
    <row r="2" ht="27.75" customHeight="true" spans="1:23">
      <c r="A2" s="33" t="s">
        <v>531</v>
      </c>
      <c r="B2" s="33"/>
      <c r="C2" s="33"/>
      <c r="D2" s="33"/>
      <c r="E2" s="33"/>
      <c r="F2" s="33"/>
      <c r="G2" s="33"/>
      <c r="H2" s="33"/>
      <c r="I2" s="33"/>
      <c r="J2" s="33"/>
      <c r="K2" s="33"/>
      <c r="L2" s="33"/>
      <c r="M2" s="33"/>
      <c r="N2" s="33"/>
      <c r="O2" s="33"/>
      <c r="P2" s="33"/>
      <c r="Q2" s="33"/>
      <c r="R2" s="33"/>
      <c r="S2" s="33"/>
      <c r="T2" s="33"/>
      <c r="U2" s="33"/>
      <c r="V2" s="33"/>
      <c r="W2" s="33"/>
    </row>
    <row r="3" ht="13.5" customHeight="true" spans="1:23">
      <c r="A3" s="4" t="str">
        <f>"单位名称："&amp;"玉溪市卫生健康委员会"</f>
        <v>单位名称：玉溪市卫生健康委员会</v>
      </c>
      <c r="B3" s="153" t="str">
        <f>"单位名称："&amp;"玉溪市卫生健康委员会"</f>
        <v>单位名称：玉溪市卫生健康委员会</v>
      </c>
      <c r="C3" s="153"/>
      <c r="D3" s="153"/>
      <c r="E3" s="153"/>
      <c r="F3" s="153"/>
      <c r="G3" s="153"/>
      <c r="H3" s="153"/>
      <c r="I3" s="153"/>
      <c r="J3" s="23"/>
      <c r="K3" s="23"/>
      <c r="L3" s="23"/>
      <c r="M3" s="23"/>
      <c r="N3" s="23"/>
      <c r="O3" s="23"/>
      <c r="P3" s="23"/>
      <c r="Q3" s="23"/>
      <c r="U3" s="158"/>
      <c r="W3" s="148" t="s">
        <v>2</v>
      </c>
    </row>
    <row r="4" ht="21.75" customHeight="true" spans="1:23">
      <c r="A4" s="6" t="s">
        <v>532</v>
      </c>
      <c r="B4" s="6" t="s">
        <v>198</v>
      </c>
      <c r="C4" s="6" t="s">
        <v>199</v>
      </c>
      <c r="D4" s="6" t="s">
        <v>533</v>
      </c>
      <c r="E4" s="7" t="s">
        <v>200</v>
      </c>
      <c r="F4" s="7" t="s">
        <v>201</v>
      </c>
      <c r="G4" s="7" t="s">
        <v>202</v>
      </c>
      <c r="H4" s="7" t="s">
        <v>203</v>
      </c>
      <c r="I4" s="12" t="s">
        <v>30</v>
      </c>
      <c r="J4" s="12" t="s">
        <v>534</v>
      </c>
      <c r="K4" s="12"/>
      <c r="L4" s="12"/>
      <c r="M4" s="12"/>
      <c r="N4" s="12" t="s">
        <v>205</v>
      </c>
      <c r="O4" s="12"/>
      <c r="P4" s="12"/>
      <c r="Q4" s="7" t="s">
        <v>36</v>
      </c>
      <c r="R4" s="25" t="s">
        <v>535</v>
      </c>
      <c r="S4" s="26"/>
      <c r="T4" s="26"/>
      <c r="U4" s="26"/>
      <c r="V4" s="26"/>
      <c r="W4" s="27"/>
    </row>
    <row r="5" ht="21.75" customHeight="true" spans="1:23">
      <c r="A5" s="8"/>
      <c r="B5" s="8"/>
      <c r="C5" s="8"/>
      <c r="D5" s="8"/>
      <c r="E5" s="9"/>
      <c r="F5" s="9"/>
      <c r="G5" s="9"/>
      <c r="H5" s="9"/>
      <c r="I5" s="12"/>
      <c r="J5" s="157" t="s">
        <v>33</v>
      </c>
      <c r="K5" s="157"/>
      <c r="L5" s="157" t="s">
        <v>34</v>
      </c>
      <c r="M5" s="157" t="s">
        <v>35</v>
      </c>
      <c r="N5" s="7" t="s">
        <v>33</v>
      </c>
      <c r="O5" s="7" t="s">
        <v>34</v>
      </c>
      <c r="P5" s="7" t="s">
        <v>35</v>
      </c>
      <c r="Q5" s="9"/>
      <c r="R5" s="7" t="s">
        <v>32</v>
      </c>
      <c r="S5" s="7" t="s">
        <v>39</v>
      </c>
      <c r="T5" s="7" t="s">
        <v>211</v>
      </c>
      <c r="U5" s="7" t="s">
        <v>41</v>
      </c>
      <c r="V5" s="7" t="s">
        <v>42</v>
      </c>
      <c r="W5" s="7" t="s">
        <v>43</v>
      </c>
    </row>
    <row r="6" ht="40.5" customHeight="true" spans="1:23">
      <c r="A6" s="10"/>
      <c r="B6" s="10"/>
      <c r="C6" s="10"/>
      <c r="D6" s="10"/>
      <c r="E6" s="11"/>
      <c r="F6" s="11"/>
      <c r="G6" s="11"/>
      <c r="H6" s="11"/>
      <c r="I6" s="12"/>
      <c r="J6" s="157" t="s">
        <v>32</v>
      </c>
      <c r="K6" s="157" t="s">
        <v>536</v>
      </c>
      <c r="L6" s="157"/>
      <c r="M6" s="157"/>
      <c r="N6" s="11"/>
      <c r="O6" s="11"/>
      <c r="P6" s="11"/>
      <c r="Q6" s="11"/>
      <c r="R6" s="11"/>
      <c r="S6" s="11"/>
      <c r="T6" s="11"/>
      <c r="U6" s="29"/>
      <c r="V6" s="11"/>
      <c r="W6" s="11"/>
    </row>
    <row r="7" ht="15" customHeight="true" spans="1:23">
      <c r="A7" s="154">
        <v>1</v>
      </c>
      <c r="B7" s="154">
        <v>2</v>
      </c>
      <c r="C7" s="154">
        <v>3</v>
      </c>
      <c r="D7" s="154">
        <v>4</v>
      </c>
      <c r="E7" s="154">
        <v>5</v>
      </c>
      <c r="F7" s="154">
        <v>6</v>
      </c>
      <c r="G7" s="154">
        <v>7</v>
      </c>
      <c r="H7" s="154">
        <v>8</v>
      </c>
      <c r="I7" s="154">
        <v>9</v>
      </c>
      <c r="J7" s="154">
        <v>10</v>
      </c>
      <c r="K7" s="154">
        <v>11</v>
      </c>
      <c r="L7" s="154">
        <v>12</v>
      </c>
      <c r="M7" s="154">
        <v>13</v>
      </c>
      <c r="N7" s="154">
        <v>14</v>
      </c>
      <c r="O7" s="154">
        <v>15</v>
      </c>
      <c r="P7" s="154">
        <v>16</v>
      </c>
      <c r="Q7" s="154">
        <v>17</v>
      </c>
      <c r="R7" s="154">
        <v>18</v>
      </c>
      <c r="S7" s="154">
        <v>19</v>
      </c>
      <c r="T7" s="154">
        <v>20</v>
      </c>
      <c r="U7" s="154">
        <v>21</v>
      </c>
      <c r="V7" s="154">
        <v>22</v>
      </c>
      <c r="W7" s="154">
        <v>23</v>
      </c>
    </row>
    <row r="8" ht="32.9" customHeight="true" spans="1:23">
      <c r="A8" s="18"/>
      <c r="B8" s="155"/>
      <c r="C8" s="18" t="s">
        <v>537</v>
      </c>
      <c r="D8" s="18"/>
      <c r="E8" s="18"/>
      <c r="F8" s="18"/>
      <c r="G8" s="18"/>
      <c r="H8" s="18"/>
      <c r="I8" s="48">
        <v>142500</v>
      </c>
      <c r="J8" s="48">
        <v>142500</v>
      </c>
      <c r="K8" s="48">
        <v>142500</v>
      </c>
      <c r="L8" s="48"/>
      <c r="M8" s="48"/>
      <c r="N8" s="48"/>
      <c r="O8" s="48"/>
      <c r="P8" s="48"/>
      <c r="Q8" s="48"/>
      <c r="R8" s="48"/>
      <c r="S8" s="48"/>
      <c r="T8" s="48"/>
      <c r="U8" s="48"/>
      <c r="V8" s="48"/>
      <c r="W8" s="48"/>
    </row>
    <row r="9" ht="32.9" customHeight="true" spans="1:23">
      <c r="A9" s="18" t="s">
        <v>538</v>
      </c>
      <c r="B9" s="155" t="s">
        <v>539</v>
      </c>
      <c r="C9" s="18" t="s">
        <v>537</v>
      </c>
      <c r="D9" s="18" t="s">
        <v>64</v>
      </c>
      <c r="E9" s="18" t="s">
        <v>124</v>
      </c>
      <c r="F9" s="18" t="s">
        <v>307</v>
      </c>
      <c r="G9" s="18" t="s">
        <v>316</v>
      </c>
      <c r="H9" s="18" t="s">
        <v>317</v>
      </c>
      <c r="I9" s="48">
        <v>142500</v>
      </c>
      <c r="J9" s="48">
        <v>142500</v>
      </c>
      <c r="K9" s="48">
        <v>142500</v>
      </c>
      <c r="L9" s="48"/>
      <c r="M9" s="48"/>
      <c r="N9" s="48"/>
      <c r="O9" s="48"/>
      <c r="P9" s="48"/>
      <c r="Q9" s="48"/>
      <c r="R9" s="48"/>
      <c r="S9" s="48"/>
      <c r="T9" s="48"/>
      <c r="U9" s="48"/>
      <c r="V9" s="48"/>
      <c r="W9" s="48"/>
    </row>
    <row r="10" ht="32.9" customHeight="true" spans="1:23">
      <c r="A10" s="18"/>
      <c r="B10" s="18"/>
      <c r="C10" s="18" t="s">
        <v>540</v>
      </c>
      <c r="D10" s="18"/>
      <c r="E10" s="18"/>
      <c r="F10" s="18"/>
      <c r="G10" s="18"/>
      <c r="H10" s="18"/>
      <c r="I10" s="48">
        <v>30000</v>
      </c>
      <c r="J10" s="48">
        <v>30000</v>
      </c>
      <c r="K10" s="48">
        <v>30000</v>
      </c>
      <c r="L10" s="48"/>
      <c r="M10" s="48"/>
      <c r="N10" s="48"/>
      <c r="O10" s="48"/>
      <c r="P10" s="48"/>
      <c r="Q10" s="48"/>
      <c r="R10" s="48"/>
      <c r="S10" s="48"/>
      <c r="T10" s="48"/>
      <c r="U10" s="48"/>
      <c r="V10" s="48"/>
      <c r="W10" s="48"/>
    </row>
    <row r="11" ht="32.9" customHeight="true" spans="1:23">
      <c r="A11" s="18" t="s">
        <v>538</v>
      </c>
      <c r="B11" s="155" t="s">
        <v>541</v>
      </c>
      <c r="C11" s="18" t="s">
        <v>540</v>
      </c>
      <c r="D11" s="18" t="s">
        <v>64</v>
      </c>
      <c r="E11" s="18" t="s">
        <v>126</v>
      </c>
      <c r="F11" s="18" t="s">
        <v>542</v>
      </c>
      <c r="G11" s="18" t="s">
        <v>283</v>
      </c>
      <c r="H11" s="18" t="s">
        <v>284</v>
      </c>
      <c r="I11" s="48">
        <v>30000</v>
      </c>
      <c r="J11" s="48">
        <v>30000</v>
      </c>
      <c r="K11" s="48">
        <v>30000</v>
      </c>
      <c r="L11" s="48"/>
      <c r="M11" s="48"/>
      <c r="N11" s="48"/>
      <c r="O11" s="48"/>
      <c r="P11" s="48"/>
      <c r="Q11" s="48"/>
      <c r="R11" s="48"/>
      <c r="S11" s="48"/>
      <c r="T11" s="48"/>
      <c r="U11" s="48"/>
      <c r="V11" s="48"/>
      <c r="W11" s="48"/>
    </row>
    <row r="12" ht="32.9" customHeight="true" spans="1:23">
      <c r="A12" s="18"/>
      <c r="B12" s="18"/>
      <c r="C12" s="18" t="s">
        <v>543</v>
      </c>
      <c r="D12" s="18"/>
      <c r="E12" s="18"/>
      <c r="F12" s="18"/>
      <c r="G12" s="18"/>
      <c r="H12" s="18"/>
      <c r="I12" s="48">
        <v>2975200</v>
      </c>
      <c r="J12" s="48">
        <v>2975200</v>
      </c>
      <c r="K12" s="48">
        <v>2975200</v>
      </c>
      <c r="L12" s="48"/>
      <c r="M12" s="48"/>
      <c r="N12" s="48"/>
      <c r="O12" s="48"/>
      <c r="P12" s="48"/>
      <c r="Q12" s="48"/>
      <c r="R12" s="48"/>
      <c r="S12" s="48"/>
      <c r="T12" s="48"/>
      <c r="U12" s="48"/>
      <c r="V12" s="48"/>
      <c r="W12" s="48"/>
    </row>
    <row r="13" ht="32.9" customHeight="true" spans="1:23">
      <c r="A13" s="18" t="s">
        <v>538</v>
      </c>
      <c r="B13" s="155" t="s">
        <v>544</v>
      </c>
      <c r="C13" s="18" t="s">
        <v>543</v>
      </c>
      <c r="D13" s="18" t="s">
        <v>64</v>
      </c>
      <c r="E13" s="18" t="s">
        <v>144</v>
      </c>
      <c r="F13" s="18" t="s">
        <v>545</v>
      </c>
      <c r="G13" s="18" t="s">
        <v>546</v>
      </c>
      <c r="H13" s="18" t="s">
        <v>98</v>
      </c>
      <c r="I13" s="48">
        <v>2975200</v>
      </c>
      <c r="J13" s="48">
        <v>2975200</v>
      </c>
      <c r="K13" s="48">
        <v>2975200</v>
      </c>
      <c r="L13" s="48"/>
      <c r="M13" s="48"/>
      <c r="N13" s="48"/>
      <c r="O13" s="48"/>
      <c r="P13" s="48"/>
      <c r="Q13" s="48"/>
      <c r="R13" s="48"/>
      <c r="S13" s="48"/>
      <c r="T13" s="48"/>
      <c r="U13" s="48"/>
      <c r="V13" s="48"/>
      <c r="W13" s="48"/>
    </row>
    <row r="14" ht="32.9" customHeight="true" spans="1:23">
      <c r="A14" s="18"/>
      <c r="B14" s="18"/>
      <c r="C14" s="18" t="s">
        <v>547</v>
      </c>
      <c r="D14" s="18"/>
      <c r="E14" s="18"/>
      <c r="F14" s="18"/>
      <c r="G14" s="18"/>
      <c r="H14" s="18"/>
      <c r="I14" s="48">
        <v>200000</v>
      </c>
      <c r="J14" s="48">
        <v>200000</v>
      </c>
      <c r="K14" s="48">
        <v>200000</v>
      </c>
      <c r="L14" s="48"/>
      <c r="M14" s="48"/>
      <c r="N14" s="48"/>
      <c r="O14" s="48"/>
      <c r="P14" s="48"/>
      <c r="Q14" s="48"/>
      <c r="R14" s="48"/>
      <c r="S14" s="48"/>
      <c r="T14" s="48"/>
      <c r="U14" s="48"/>
      <c r="V14" s="48"/>
      <c r="W14" s="48"/>
    </row>
    <row r="15" ht="32.9" customHeight="true" spans="1:23">
      <c r="A15" s="18" t="s">
        <v>538</v>
      </c>
      <c r="B15" s="155" t="s">
        <v>548</v>
      </c>
      <c r="C15" s="18" t="s">
        <v>547</v>
      </c>
      <c r="D15" s="18" t="s">
        <v>64</v>
      </c>
      <c r="E15" s="18" t="s">
        <v>142</v>
      </c>
      <c r="F15" s="18" t="s">
        <v>549</v>
      </c>
      <c r="G15" s="18" t="s">
        <v>283</v>
      </c>
      <c r="H15" s="18" t="s">
        <v>284</v>
      </c>
      <c r="I15" s="48">
        <v>200000</v>
      </c>
      <c r="J15" s="48">
        <v>200000</v>
      </c>
      <c r="K15" s="48">
        <v>200000</v>
      </c>
      <c r="L15" s="48"/>
      <c r="M15" s="48"/>
      <c r="N15" s="48"/>
      <c r="O15" s="48"/>
      <c r="P15" s="48"/>
      <c r="Q15" s="48"/>
      <c r="R15" s="48"/>
      <c r="S15" s="48"/>
      <c r="T15" s="48"/>
      <c r="U15" s="48"/>
      <c r="V15" s="48"/>
      <c r="W15" s="48"/>
    </row>
    <row r="16" ht="32.9" customHeight="true" spans="1:23">
      <c r="A16" s="18"/>
      <c r="B16" s="18"/>
      <c r="C16" s="18" t="s">
        <v>550</v>
      </c>
      <c r="D16" s="18"/>
      <c r="E16" s="18"/>
      <c r="F16" s="18"/>
      <c r="G16" s="18"/>
      <c r="H16" s="18"/>
      <c r="I16" s="48">
        <v>1141537.5</v>
      </c>
      <c r="J16" s="48">
        <v>1141537.5</v>
      </c>
      <c r="K16" s="48">
        <v>1141537.5</v>
      </c>
      <c r="L16" s="48"/>
      <c r="M16" s="48"/>
      <c r="N16" s="48"/>
      <c r="O16" s="48"/>
      <c r="P16" s="48"/>
      <c r="Q16" s="48"/>
      <c r="R16" s="48"/>
      <c r="S16" s="48"/>
      <c r="T16" s="48"/>
      <c r="U16" s="48"/>
      <c r="V16" s="48"/>
      <c r="W16" s="48"/>
    </row>
    <row r="17" ht="32.9" customHeight="true" spans="1:23">
      <c r="A17" s="18" t="s">
        <v>538</v>
      </c>
      <c r="B17" s="155" t="s">
        <v>551</v>
      </c>
      <c r="C17" s="18" t="s">
        <v>550</v>
      </c>
      <c r="D17" s="18" t="s">
        <v>64</v>
      </c>
      <c r="E17" s="18" t="s">
        <v>142</v>
      </c>
      <c r="F17" s="18" t="s">
        <v>549</v>
      </c>
      <c r="G17" s="18" t="s">
        <v>546</v>
      </c>
      <c r="H17" s="18" t="s">
        <v>98</v>
      </c>
      <c r="I17" s="48">
        <v>1141537.5</v>
      </c>
      <c r="J17" s="48">
        <v>1141537.5</v>
      </c>
      <c r="K17" s="48">
        <v>1141537.5</v>
      </c>
      <c r="L17" s="48"/>
      <c r="M17" s="48"/>
      <c r="N17" s="48"/>
      <c r="O17" s="48"/>
      <c r="P17" s="48"/>
      <c r="Q17" s="48"/>
      <c r="R17" s="48"/>
      <c r="S17" s="48"/>
      <c r="T17" s="48"/>
      <c r="U17" s="48"/>
      <c r="V17" s="48"/>
      <c r="W17" s="48"/>
    </row>
    <row r="18" ht="32.9" customHeight="true" spans="1:23">
      <c r="A18" s="18"/>
      <c r="B18" s="18"/>
      <c r="C18" s="18" t="s">
        <v>552</v>
      </c>
      <c r="D18" s="18"/>
      <c r="E18" s="18"/>
      <c r="F18" s="18"/>
      <c r="G18" s="18"/>
      <c r="H18" s="18"/>
      <c r="I18" s="48">
        <v>12085140</v>
      </c>
      <c r="J18" s="48">
        <v>12085140</v>
      </c>
      <c r="K18" s="48">
        <v>12085140</v>
      </c>
      <c r="L18" s="48"/>
      <c r="M18" s="48"/>
      <c r="N18" s="48"/>
      <c r="O18" s="48"/>
      <c r="P18" s="48"/>
      <c r="Q18" s="48"/>
      <c r="R18" s="48"/>
      <c r="S18" s="48"/>
      <c r="T18" s="48"/>
      <c r="U18" s="48"/>
      <c r="V18" s="48"/>
      <c r="W18" s="48"/>
    </row>
    <row r="19" ht="32.9" customHeight="true" spans="1:23">
      <c r="A19" s="18" t="s">
        <v>538</v>
      </c>
      <c r="B19" s="155" t="s">
        <v>553</v>
      </c>
      <c r="C19" s="18" t="s">
        <v>552</v>
      </c>
      <c r="D19" s="18" t="s">
        <v>64</v>
      </c>
      <c r="E19" s="18" t="s">
        <v>134</v>
      </c>
      <c r="F19" s="18" t="s">
        <v>554</v>
      </c>
      <c r="G19" s="18" t="s">
        <v>546</v>
      </c>
      <c r="H19" s="18" t="s">
        <v>98</v>
      </c>
      <c r="I19" s="48">
        <v>5550140</v>
      </c>
      <c r="J19" s="48">
        <v>5550140</v>
      </c>
      <c r="K19" s="48">
        <v>5550140</v>
      </c>
      <c r="L19" s="48"/>
      <c r="M19" s="48"/>
      <c r="N19" s="48"/>
      <c r="O19" s="48"/>
      <c r="P19" s="48"/>
      <c r="Q19" s="48"/>
      <c r="R19" s="48"/>
      <c r="S19" s="48"/>
      <c r="T19" s="48"/>
      <c r="U19" s="48"/>
      <c r="V19" s="48"/>
      <c r="W19" s="48"/>
    </row>
    <row r="20" ht="32.9" customHeight="true" spans="1:23">
      <c r="A20" s="18" t="s">
        <v>538</v>
      </c>
      <c r="B20" s="155" t="s">
        <v>553</v>
      </c>
      <c r="C20" s="18" t="s">
        <v>552</v>
      </c>
      <c r="D20" s="18" t="s">
        <v>64</v>
      </c>
      <c r="E20" s="18" t="s">
        <v>141</v>
      </c>
      <c r="F20" s="18" t="s">
        <v>555</v>
      </c>
      <c r="G20" s="18" t="s">
        <v>546</v>
      </c>
      <c r="H20" s="18" t="s">
        <v>98</v>
      </c>
      <c r="I20" s="48">
        <v>6535000</v>
      </c>
      <c r="J20" s="48">
        <v>6535000</v>
      </c>
      <c r="K20" s="48">
        <v>6535000</v>
      </c>
      <c r="L20" s="48"/>
      <c r="M20" s="48"/>
      <c r="N20" s="48"/>
      <c r="O20" s="48"/>
      <c r="P20" s="48"/>
      <c r="Q20" s="48"/>
      <c r="R20" s="48"/>
      <c r="S20" s="48"/>
      <c r="T20" s="48"/>
      <c r="U20" s="48"/>
      <c r="V20" s="48"/>
      <c r="W20" s="48"/>
    </row>
    <row r="21" ht="32.9" customHeight="true" spans="1:23">
      <c r="A21" s="18"/>
      <c r="B21" s="18"/>
      <c r="C21" s="18" t="s">
        <v>556</v>
      </c>
      <c r="D21" s="18"/>
      <c r="E21" s="18"/>
      <c r="F21" s="18"/>
      <c r="G21" s="18"/>
      <c r="H21" s="18"/>
      <c r="I21" s="48">
        <v>5112400</v>
      </c>
      <c r="J21" s="48">
        <v>5112400</v>
      </c>
      <c r="K21" s="48">
        <v>5112400</v>
      </c>
      <c r="L21" s="48"/>
      <c r="M21" s="48"/>
      <c r="N21" s="48"/>
      <c r="O21" s="48"/>
      <c r="P21" s="48"/>
      <c r="Q21" s="48"/>
      <c r="R21" s="48"/>
      <c r="S21" s="48"/>
      <c r="T21" s="48"/>
      <c r="U21" s="48"/>
      <c r="V21" s="48"/>
      <c r="W21" s="48"/>
    </row>
    <row r="22" ht="32.9" customHeight="true" spans="1:23">
      <c r="A22" s="18" t="s">
        <v>538</v>
      </c>
      <c r="B22" s="155" t="s">
        <v>557</v>
      </c>
      <c r="C22" s="18" t="s">
        <v>556</v>
      </c>
      <c r="D22" s="18" t="s">
        <v>64</v>
      </c>
      <c r="E22" s="18" t="s">
        <v>144</v>
      </c>
      <c r="F22" s="18" t="s">
        <v>545</v>
      </c>
      <c r="G22" s="18" t="s">
        <v>546</v>
      </c>
      <c r="H22" s="18" t="s">
        <v>98</v>
      </c>
      <c r="I22" s="48">
        <v>5112400</v>
      </c>
      <c r="J22" s="48">
        <v>5112400</v>
      </c>
      <c r="K22" s="48">
        <v>5112400</v>
      </c>
      <c r="L22" s="48"/>
      <c r="M22" s="48"/>
      <c r="N22" s="48"/>
      <c r="O22" s="48"/>
      <c r="P22" s="48"/>
      <c r="Q22" s="48"/>
      <c r="R22" s="48"/>
      <c r="S22" s="48"/>
      <c r="T22" s="48"/>
      <c r="U22" s="48"/>
      <c r="V22" s="48"/>
      <c r="W22" s="48"/>
    </row>
    <row r="23" ht="32.9" customHeight="true" spans="1:23">
      <c r="A23" s="18"/>
      <c r="B23" s="18"/>
      <c r="C23" s="18" t="s">
        <v>558</v>
      </c>
      <c r="D23" s="18"/>
      <c r="E23" s="18"/>
      <c r="F23" s="18"/>
      <c r="G23" s="18"/>
      <c r="H23" s="18"/>
      <c r="I23" s="48">
        <v>1248000</v>
      </c>
      <c r="J23" s="48">
        <v>1248000</v>
      </c>
      <c r="K23" s="48">
        <v>1248000</v>
      </c>
      <c r="L23" s="48"/>
      <c r="M23" s="48"/>
      <c r="N23" s="48"/>
      <c r="O23" s="48"/>
      <c r="P23" s="48"/>
      <c r="Q23" s="48"/>
      <c r="R23" s="48"/>
      <c r="S23" s="48"/>
      <c r="T23" s="48"/>
      <c r="U23" s="48"/>
      <c r="V23" s="48"/>
      <c r="W23" s="48"/>
    </row>
    <row r="24" ht="32.9" customHeight="true" spans="1:23">
      <c r="A24" s="18" t="s">
        <v>559</v>
      </c>
      <c r="B24" s="155" t="s">
        <v>560</v>
      </c>
      <c r="C24" s="18" t="s">
        <v>558</v>
      </c>
      <c r="D24" s="18" t="s">
        <v>64</v>
      </c>
      <c r="E24" s="18" t="s">
        <v>142</v>
      </c>
      <c r="F24" s="18" t="s">
        <v>549</v>
      </c>
      <c r="G24" s="18" t="s">
        <v>546</v>
      </c>
      <c r="H24" s="18" t="s">
        <v>98</v>
      </c>
      <c r="I24" s="48">
        <v>1248000</v>
      </c>
      <c r="J24" s="48">
        <v>1248000</v>
      </c>
      <c r="K24" s="48">
        <v>1248000</v>
      </c>
      <c r="L24" s="48"/>
      <c r="M24" s="48"/>
      <c r="N24" s="48"/>
      <c r="O24" s="48"/>
      <c r="P24" s="48"/>
      <c r="Q24" s="48"/>
      <c r="R24" s="48"/>
      <c r="S24" s="48"/>
      <c r="T24" s="48"/>
      <c r="U24" s="48"/>
      <c r="V24" s="48"/>
      <c r="W24" s="48"/>
    </row>
    <row r="25" ht="32.9" customHeight="true" spans="1:23">
      <c r="A25" s="18"/>
      <c r="B25" s="18"/>
      <c r="C25" s="18" t="s">
        <v>561</v>
      </c>
      <c r="D25" s="18"/>
      <c r="E25" s="18"/>
      <c r="F25" s="18"/>
      <c r="G25" s="18"/>
      <c r="H25" s="18"/>
      <c r="I25" s="48">
        <v>1000000</v>
      </c>
      <c r="J25" s="48">
        <v>1000000</v>
      </c>
      <c r="K25" s="48">
        <v>1000000</v>
      </c>
      <c r="L25" s="48"/>
      <c r="M25" s="48"/>
      <c r="N25" s="48"/>
      <c r="O25" s="48"/>
      <c r="P25" s="48"/>
      <c r="Q25" s="48"/>
      <c r="R25" s="48"/>
      <c r="S25" s="48"/>
      <c r="T25" s="48"/>
      <c r="U25" s="48"/>
      <c r="V25" s="48"/>
      <c r="W25" s="48"/>
    </row>
    <row r="26" ht="32.9" customHeight="true" spans="1:23">
      <c r="A26" s="18" t="s">
        <v>559</v>
      </c>
      <c r="B26" s="155" t="s">
        <v>562</v>
      </c>
      <c r="C26" s="18" t="s">
        <v>561</v>
      </c>
      <c r="D26" s="18" t="s">
        <v>64</v>
      </c>
      <c r="E26" s="18" t="s">
        <v>110</v>
      </c>
      <c r="F26" s="18" t="s">
        <v>563</v>
      </c>
      <c r="G26" s="18" t="s">
        <v>254</v>
      </c>
      <c r="H26" s="18" t="s">
        <v>255</v>
      </c>
      <c r="I26" s="48">
        <v>1000000</v>
      </c>
      <c r="J26" s="48">
        <v>1000000</v>
      </c>
      <c r="K26" s="48">
        <v>1000000</v>
      </c>
      <c r="L26" s="48"/>
      <c r="M26" s="48"/>
      <c r="N26" s="48"/>
      <c r="O26" s="48"/>
      <c r="P26" s="48"/>
      <c r="Q26" s="48"/>
      <c r="R26" s="48"/>
      <c r="S26" s="48"/>
      <c r="T26" s="48"/>
      <c r="U26" s="48"/>
      <c r="V26" s="48"/>
      <c r="W26" s="48"/>
    </row>
    <row r="27" ht="32.9" customHeight="true" spans="1:23">
      <c r="A27" s="18"/>
      <c r="B27" s="18"/>
      <c r="C27" s="18" t="s">
        <v>564</v>
      </c>
      <c r="D27" s="18"/>
      <c r="E27" s="18"/>
      <c r="F27" s="18"/>
      <c r="G27" s="18"/>
      <c r="H27" s="18"/>
      <c r="I27" s="48">
        <v>4621500</v>
      </c>
      <c r="J27" s="48">
        <v>4621500</v>
      </c>
      <c r="K27" s="48">
        <v>4621500</v>
      </c>
      <c r="L27" s="48"/>
      <c r="M27" s="48"/>
      <c r="N27" s="48"/>
      <c r="O27" s="48"/>
      <c r="P27" s="48"/>
      <c r="Q27" s="48"/>
      <c r="R27" s="48"/>
      <c r="S27" s="48"/>
      <c r="T27" s="48"/>
      <c r="U27" s="48"/>
      <c r="V27" s="48"/>
      <c r="W27" s="48"/>
    </row>
    <row r="28" ht="32.9" customHeight="true" spans="1:23">
      <c r="A28" s="18" t="s">
        <v>538</v>
      </c>
      <c r="B28" s="155" t="s">
        <v>565</v>
      </c>
      <c r="C28" s="18" t="s">
        <v>564</v>
      </c>
      <c r="D28" s="18" t="s">
        <v>64</v>
      </c>
      <c r="E28" s="18" t="s">
        <v>144</v>
      </c>
      <c r="F28" s="18" t="s">
        <v>545</v>
      </c>
      <c r="G28" s="18" t="s">
        <v>546</v>
      </c>
      <c r="H28" s="18" t="s">
        <v>98</v>
      </c>
      <c r="I28" s="48">
        <v>4621500</v>
      </c>
      <c r="J28" s="48">
        <v>4621500</v>
      </c>
      <c r="K28" s="48">
        <v>4621500</v>
      </c>
      <c r="L28" s="48"/>
      <c r="M28" s="48"/>
      <c r="N28" s="48"/>
      <c r="O28" s="48"/>
      <c r="P28" s="48"/>
      <c r="Q28" s="48"/>
      <c r="R28" s="48"/>
      <c r="S28" s="48"/>
      <c r="T28" s="48"/>
      <c r="U28" s="48"/>
      <c r="V28" s="48"/>
      <c r="W28" s="48"/>
    </row>
    <row r="29" ht="32.9" customHeight="true" spans="1:23">
      <c r="A29" s="18"/>
      <c r="B29" s="18"/>
      <c r="C29" s="18" t="s">
        <v>566</v>
      </c>
      <c r="D29" s="18"/>
      <c r="E29" s="18"/>
      <c r="F29" s="18"/>
      <c r="G29" s="18"/>
      <c r="H29" s="18"/>
      <c r="I29" s="48">
        <v>40970</v>
      </c>
      <c r="J29" s="48"/>
      <c r="K29" s="48"/>
      <c r="L29" s="48"/>
      <c r="M29" s="48"/>
      <c r="N29" s="48">
        <v>40970</v>
      </c>
      <c r="O29" s="48"/>
      <c r="P29" s="48"/>
      <c r="Q29" s="48"/>
      <c r="R29" s="48"/>
      <c r="S29" s="48"/>
      <c r="T29" s="48"/>
      <c r="U29" s="48"/>
      <c r="V29" s="48"/>
      <c r="W29" s="48"/>
    </row>
    <row r="30" ht="32.9" customHeight="true" spans="1:23">
      <c r="A30" s="18" t="s">
        <v>567</v>
      </c>
      <c r="B30" s="155" t="s">
        <v>568</v>
      </c>
      <c r="C30" s="18" t="s">
        <v>566</v>
      </c>
      <c r="D30" s="18" t="s">
        <v>64</v>
      </c>
      <c r="E30" s="18" t="s">
        <v>154</v>
      </c>
      <c r="F30" s="18" t="s">
        <v>569</v>
      </c>
      <c r="G30" s="18" t="s">
        <v>281</v>
      </c>
      <c r="H30" s="18" t="s">
        <v>282</v>
      </c>
      <c r="I30" s="48">
        <v>40970</v>
      </c>
      <c r="J30" s="48"/>
      <c r="K30" s="48"/>
      <c r="L30" s="48"/>
      <c r="M30" s="48"/>
      <c r="N30" s="48">
        <v>40970</v>
      </c>
      <c r="O30" s="48"/>
      <c r="P30" s="48"/>
      <c r="Q30" s="48"/>
      <c r="R30" s="48"/>
      <c r="S30" s="48"/>
      <c r="T30" s="48"/>
      <c r="U30" s="48"/>
      <c r="V30" s="48"/>
      <c r="W30" s="48"/>
    </row>
    <row r="31" ht="32.9" customHeight="true" spans="1:23">
      <c r="A31" s="18"/>
      <c r="B31" s="18"/>
      <c r="C31" s="18" t="s">
        <v>570</v>
      </c>
      <c r="D31" s="18"/>
      <c r="E31" s="18"/>
      <c r="F31" s="18"/>
      <c r="G31" s="18"/>
      <c r="H31" s="18"/>
      <c r="I31" s="48">
        <v>89894</v>
      </c>
      <c r="J31" s="48"/>
      <c r="K31" s="48"/>
      <c r="L31" s="48"/>
      <c r="M31" s="48"/>
      <c r="N31" s="48">
        <v>89894</v>
      </c>
      <c r="O31" s="48"/>
      <c r="P31" s="48"/>
      <c r="Q31" s="48"/>
      <c r="R31" s="48"/>
      <c r="S31" s="48"/>
      <c r="T31" s="48"/>
      <c r="U31" s="48"/>
      <c r="V31" s="48"/>
      <c r="W31" s="48"/>
    </row>
    <row r="32" ht="32.9" customHeight="true" spans="1:23">
      <c r="A32" s="18" t="s">
        <v>567</v>
      </c>
      <c r="B32" s="155" t="s">
        <v>571</v>
      </c>
      <c r="C32" s="18" t="s">
        <v>570</v>
      </c>
      <c r="D32" s="18" t="s">
        <v>64</v>
      </c>
      <c r="E32" s="18" t="s">
        <v>154</v>
      </c>
      <c r="F32" s="18" t="s">
        <v>569</v>
      </c>
      <c r="G32" s="18" t="s">
        <v>281</v>
      </c>
      <c r="H32" s="18" t="s">
        <v>282</v>
      </c>
      <c r="I32" s="48">
        <v>89894</v>
      </c>
      <c r="J32" s="48"/>
      <c r="K32" s="48"/>
      <c r="L32" s="48"/>
      <c r="M32" s="48"/>
      <c r="N32" s="48">
        <v>89894</v>
      </c>
      <c r="O32" s="48"/>
      <c r="P32" s="48"/>
      <c r="Q32" s="48"/>
      <c r="R32" s="48"/>
      <c r="S32" s="48"/>
      <c r="T32" s="48"/>
      <c r="U32" s="48"/>
      <c r="V32" s="48"/>
      <c r="W32" s="48"/>
    </row>
    <row r="33" ht="32.9" customHeight="true" spans="1:23">
      <c r="A33" s="18"/>
      <c r="B33" s="18"/>
      <c r="C33" s="18" t="s">
        <v>572</v>
      </c>
      <c r="D33" s="18"/>
      <c r="E33" s="18"/>
      <c r="F33" s="18"/>
      <c r="G33" s="18"/>
      <c r="H33" s="18"/>
      <c r="I33" s="48">
        <v>20870000</v>
      </c>
      <c r="J33" s="48">
        <v>20870000</v>
      </c>
      <c r="K33" s="48">
        <v>20870000</v>
      </c>
      <c r="L33" s="48"/>
      <c r="M33" s="48"/>
      <c r="N33" s="48"/>
      <c r="O33" s="48"/>
      <c r="P33" s="48"/>
      <c r="Q33" s="48"/>
      <c r="R33" s="48"/>
      <c r="S33" s="48"/>
      <c r="T33" s="48"/>
      <c r="U33" s="48"/>
      <c r="V33" s="48"/>
      <c r="W33" s="48"/>
    </row>
    <row r="34" ht="32.9" customHeight="true" spans="1:23">
      <c r="A34" s="18" t="s">
        <v>538</v>
      </c>
      <c r="B34" s="155" t="s">
        <v>573</v>
      </c>
      <c r="C34" s="18" t="s">
        <v>572</v>
      </c>
      <c r="D34" s="18" t="s">
        <v>64</v>
      </c>
      <c r="E34" s="18" t="s">
        <v>167</v>
      </c>
      <c r="F34" s="18" t="s">
        <v>574</v>
      </c>
      <c r="G34" s="18" t="s">
        <v>546</v>
      </c>
      <c r="H34" s="18" t="s">
        <v>98</v>
      </c>
      <c r="I34" s="48">
        <v>20870000</v>
      </c>
      <c r="J34" s="48">
        <v>20870000</v>
      </c>
      <c r="K34" s="48">
        <v>20870000</v>
      </c>
      <c r="L34" s="48"/>
      <c r="M34" s="48"/>
      <c r="N34" s="48"/>
      <c r="O34" s="48"/>
      <c r="P34" s="48"/>
      <c r="Q34" s="48"/>
      <c r="R34" s="48"/>
      <c r="S34" s="48"/>
      <c r="T34" s="48"/>
      <c r="U34" s="48"/>
      <c r="V34" s="48"/>
      <c r="W34" s="48"/>
    </row>
    <row r="35" ht="32.9" customHeight="true" spans="1:23">
      <c r="A35" s="18"/>
      <c r="B35" s="18"/>
      <c r="C35" s="18" t="s">
        <v>575</v>
      </c>
      <c r="D35" s="18"/>
      <c r="E35" s="18"/>
      <c r="F35" s="18"/>
      <c r="G35" s="18"/>
      <c r="H35" s="18"/>
      <c r="I35" s="48">
        <v>23280000</v>
      </c>
      <c r="J35" s="48">
        <v>23280000</v>
      </c>
      <c r="K35" s="48">
        <v>23280000</v>
      </c>
      <c r="L35" s="48"/>
      <c r="M35" s="48"/>
      <c r="N35" s="48"/>
      <c r="O35" s="48"/>
      <c r="P35" s="48"/>
      <c r="Q35" s="48"/>
      <c r="R35" s="48"/>
      <c r="S35" s="48"/>
      <c r="T35" s="48"/>
      <c r="U35" s="48"/>
      <c r="V35" s="48"/>
      <c r="W35" s="48"/>
    </row>
    <row r="36" ht="32.9" customHeight="true" spans="1:23">
      <c r="A36" s="18" t="s">
        <v>538</v>
      </c>
      <c r="B36" s="155" t="s">
        <v>576</v>
      </c>
      <c r="C36" s="18" t="s">
        <v>575</v>
      </c>
      <c r="D36" s="18" t="s">
        <v>64</v>
      </c>
      <c r="E36" s="18" t="s">
        <v>167</v>
      </c>
      <c r="F36" s="18" t="s">
        <v>574</v>
      </c>
      <c r="G36" s="18" t="s">
        <v>546</v>
      </c>
      <c r="H36" s="18" t="s">
        <v>98</v>
      </c>
      <c r="I36" s="48">
        <v>23280000</v>
      </c>
      <c r="J36" s="48">
        <v>23280000</v>
      </c>
      <c r="K36" s="48">
        <v>23280000</v>
      </c>
      <c r="L36" s="48"/>
      <c r="M36" s="48"/>
      <c r="N36" s="48"/>
      <c r="O36" s="48"/>
      <c r="P36" s="48"/>
      <c r="Q36" s="48"/>
      <c r="R36" s="48"/>
      <c r="S36" s="48"/>
      <c r="T36" s="48"/>
      <c r="U36" s="48"/>
      <c r="V36" s="48"/>
      <c r="W36" s="48"/>
    </row>
    <row r="37" ht="32.9" customHeight="true" spans="1:23">
      <c r="A37" s="18"/>
      <c r="B37" s="18"/>
      <c r="C37" s="18" t="s">
        <v>577</v>
      </c>
      <c r="D37" s="18"/>
      <c r="E37" s="18"/>
      <c r="F37" s="18"/>
      <c r="G37" s="18"/>
      <c r="H37" s="18"/>
      <c r="I37" s="48">
        <v>155750000</v>
      </c>
      <c r="J37" s="48">
        <v>155750000</v>
      </c>
      <c r="K37" s="48">
        <v>155750000</v>
      </c>
      <c r="L37" s="48"/>
      <c r="M37" s="48"/>
      <c r="N37" s="48"/>
      <c r="O37" s="48"/>
      <c r="P37" s="48"/>
      <c r="Q37" s="48"/>
      <c r="R37" s="48"/>
      <c r="S37" s="48"/>
      <c r="T37" s="48"/>
      <c r="U37" s="48"/>
      <c r="V37" s="48"/>
      <c r="W37" s="48"/>
    </row>
    <row r="38" ht="32.9" customHeight="true" spans="1:23">
      <c r="A38" s="18" t="s">
        <v>538</v>
      </c>
      <c r="B38" s="155" t="s">
        <v>578</v>
      </c>
      <c r="C38" s="18" t="s">
        <v>577</v>
      </c>
      <c r="D38" s="18" t="s">
        <v>64</v>
      </c>
      <c r="E38" s="18" t="s">
        <v>167</v>
      </c>
      <c r="F38" s="18" t="s">
        <v>574</v>
      </c>
      <c r="G38" s="18" t="s">
        <v>546</v>
      </c>
      <c r="H38" s="18" t="s">
        <v>98</v>
      </c>
      <c r="I38" s="48">
        <v>155750000</v>
      </c>
      <c r="J38" s="48">
        <v>155750000</v>
      </c>
      <c r="K38" s="48">
        <v>155750000</v>
      </c>
      <c r="L38" s="48"/>
      <c r="M38" s="48"/>
      <c r="N38" s="48"/>
      <c r="O38" s="48"/>
      <c r="P38" s="48"/>
      <c r="Q38" s="48"/>
      <c r="R38" s="48"/>
      <c r="S38" s="48"/>
      <c r="T38" s="48"/>
      <c r="U38" s="48"/>
      <c r="V38" s="48"/>
      <c r="W38" s="48"/>
    </row>
    <row r="39" ht="32.9" customHeight="true" spans="1:23">
      <c r="A39" s="18"/>
      <c r="B39" s="18"/>
      <c r="C39" s="18" t="s">
        <v>579</v>
      </c>
      <c r="D39" s="18"/>
      <c r="E39" s="18"/>
      <c r="F39" s="18"/>
      <c r="G39" s="18"/>
      <c r="H39" s="18"/>
      <c r="I39" s="48">
        <v>220000</v>
      </c>
      <c r="J39" s="48">
        <v>220000</v>
      </c>
      <c r="K39" s="48">
        <v>220000</v>
      </c>
      <c r="L39" s="48"/>
      <c r="M39" s="48"/>
      <c r="N39" s="48"/>
      <c r="O39" s="48"/>
      <c r="P39" s="48"/>
      <c r="Q39" s="48"/>
      <c r="R39" s="48"/>
      <c r="S39" s="48"/>
      <c r="T39" s="48"/>
      <c r="U39" s="48"/>
      <c r="V39" s="48"/>
      <c r="W39" s="48"/>
    </row>
    <row r="40" ht="32.9" customHeight="true" spans="1:23">
      <c r="A40" s="18" t="s">
        <v>538</v>
      </c>
      <c r="B40" s="155" t="s">
        <v>580</v>
      </c>
      <c r="C40" s="18" t="s">
        <v>579</v>
      </c>
      <c r="D40" s="18" t="s">
        <v>64</v>
      </c>
      <c r="E40" s="18" t="s">
        <v>167</v>
      </c>
      <c r="F40" s="18" t="s">
        <v>574</v>
      </c>
      <c r="G40" s="18" t="s">
        <v>546</v>
      </c>
      <c r="H40" s="18" t="s">
        <v>98</v>
      </c>
      <c r="I40" s="48">
        <v>220000</v>
      </c>
      <c r="J40" s="48">
        <v>220000</v>
      </c>
      <c r="K40" s="48">
        <v>220000</v>
      </c>
      <c r="L40" s="48"/>
      <c r="M40" s="48"/>
      <c r="N40" s="48"/>
      <c r="O40" s="48"/>
      <c r="P40" s="48"/>
      <c r="Q40" s="48"/>
      <c r="R40" s="48"/>
      <c r="S40" s="48"/>
      <c r="T40" s="48"/>
      <c r="U40" s="48"/>
      <c r="V40" s="48"/>
      <c r="W40" s="48"/>
    </row>
    <row r="41" ht="32.9" customHeight="true" spans="1:23">
      <c r="A41" s="18"/>
      <c r="B41" s="18"/>
      <c r="C41" s="18" t="s">
        <v>581</v>
      </c>
      <c r="D41" s="18"/>
      <c r="E41" s="18"/>
      <c r="F41" s="18"/>
      <c r="G41" s="18"/>
      <c r="H41" s="18"/>
      <c r="I41" s="48">
        <v>21950000</v>
      </c>
      <c r="J41" s="48">
        <v>21950000</v>
      </c>
      <c r="K41" s="48">
        <v>21950000</v>
      </c>
      <c r="L41" s="48"/>
      <c r="M41" s="48"/>
      <c r="N41" s="48"/>
      <c r="O41" s="48"/>
      <c r="P41" s="48"/>
      <c r="Q41" s="48"/>
      <c r="R41" s="48"/>
      <c r="S41" s="48"/>
      <c r="T41" s="48"/>
      <c r="U41" s="48"/>
      <c r="V41" s="48"/>
      <c r="W41" s="48"/>
    </row>
    <row r="42" ht="32.9" customHeight="true" spans="1:23">
      <c r="A42" s="18" t="s">
        <v>538</v>
      </c>
      <c r="B42" s="155" t="s">
        <v>582</v>
      </c>
      <c r="C42" s="18" t="s">
        <v>581</v>
      </c>
      <c r="D42" s="18" t="s">
        <v>64</v>
      </c>
      <c r="E42" s="18" t="s">
        <v>167</v>
      </c>
      <c r="F42" s="18" t="s">
        <v>574</v>
      </c>
      <c r="G42" s="18" t="s">
        <v>546</v>
      </c>
      <c r="H42" s="18" t="s">
        <v>98</v>
      </c>
      <c r="I42" s="48">
        <v>21950000</v>
      </c>
      <c r="J42" s="48">
        <v>21950000</v>
      </c>
      <c r="K42" s="48">
        <v>21950000</v>
      </c>
      <c r="L42" s="48"/>
      <c r="M42" s="48"/>
      <c r="N42" s="48"/>
      <c r="O42" s="48"/>
      <c r="P42" s="48"/>
      <c r="Q42" s="48"/>
      <c r="R42" s="48"/>
      <c r="S42" s="48"/>
      <c r="T42" s="48"/>
      <c r="U42" s="48"/>
      <c r="V42" s="48"/>
      <c r="W42" s="48"/>
    </row>
    <row r="43" ht="32.9" customHeight="true" spans="1:23">
      <c r="A43" s="18"/>
      <c r="B43" s="18"/>
      <c r="C43" s="18" t="s">
        <v>583</v>
      </c>
      <c r="D43" s="18"/>
      <c r="E43" s="18"/>
      <c r="F43" s="18"/>
      <c r="G43" s="18"/>
      <c r="H43" s="18"/>
      <c r="I43" s="48">
        <v>14904700</v>
      </c>
      <c r="J43" s="48">
        <v>14904700</v>
      </c>
      <c r="K43" s="48">
        <v>14904700</v>
      </c>
      <c r="L43" s="48"/>
      <c r="M43" s="48"/>
      <c r="N43" s="48"/>
      <c r="O43" s="48"/>
      <c r="P43" s="48"/>
      <c r="Q43" s="48"/>
      <c r="R43" s="48"/>
      <c r="S43" s="48"/>
      <c r="T43" s="48"/>
      <c r="U43" s="48"/>
      <c r="V43" s="48"/>
      <c r="W43" s="48"/>
    </row>
    <row r="44" ht="32.9" customHeight="true" spans="1:23">
      <c r="A44" s="18" t="s">
        <v>538</v>
      </c>
      <c r="B44" s="155" t="s">
        <v>584</v>
      </c>
      <c r="C44" s="18" t="s">
        <v>583</v>
      </c>
      <c r="D44" s="18" t="s">
        <v>64</v>
      </c>
      <c r="E44" s="18" t="s">
        <v>167</v>
      </c>
      <c r="F44" s="18" t="s">
        <v>574</v>
      </c>
      <c r="G44" s="18" t="s">
        <v>546</v>
      </c>
      <c r="H44" s="18" t="s">
        <v>98</v>
      </c>
      <c r="I44" s="48">
        <v>14904700</v>
      </c>
      <c r="J44" s="48">
        <v>14904700</v>
      </c>
      <c r="K44" s="48">
        <v>14904700</v>
      </c>
      <c r="L44" s="48"/>
      <c r="M44" s="48"/>
      <c r="N44" s="48"/>
      <c r="O44" s="48"/>
      <c r="P44" s="48"/>
      <c r="Q44" s="48"/>
      <c r="R44" s="48"/>
      <c r="S44" s="48"/>
      <c r="T44" s="48"/>
      <c r="U44" s="48"/>
      <c r="V44" s="48"/>
      <c r="W44" s="48"/>
    </row>
    <row r="45" ht="32.9" customHeight="true" spans="1:23">
      <c r="A45" s="18"/>
      <c r="B45" s="18"/>
      <c r="C45" s="18" t="s">
        <v>585</v>
      </c>
      <c r="D45" s="18"/>
      <c r="E45" s="18"/>
      <c r="F45" s="18"/>
      <c r="G45" s="18"/>
      <c r="H45" s="18"/>
      <c r="I45" s="48">
        <v>97972</v>
      </c>
      <c r="J45" s="48"/>
      <c r="K45" s="48"/>
      <c r="L45" s="48"/>
      <c r="M45" s="48"/>
      <c r="N45" s="48">
        <v>97972</v>
      </c>
      <c r="O45" s="48"/>
      <c r="P45" s="48"/>
      <c r="Q45" s="48"/>
      <c r="R45" s="48"/>
      <c r="S45" s="48"/>
      <c r="T45" s="48"/>
      <c r="U45" s="48"/>
      <c r="V45" s="48"/>
      <c r="W45" s="48"/>
    </row>
    <row r="46" ht="32.9" customHeight="true" spans="1:23">
      <c r="A46" s="18" t="s">
        <v>538</v>
      </c>
      <c r="B46" s="155" t="s">
        <v>586</v>
      </c>
      <c r="C46" s="18" t="s">
        <v>585</v>
      </c>
      <c r="D46" s="18" t="s">
        <v>64</v>
      </c>
      <c r="E46" s="18" t="s">
        <v>152</v>
      </c>
      <c r="F46" s="18" t="s">
        <v>587</v>
      </c>
      <c r="G46" s="18" t="s">
        <v>283</v>
      </c>
      <c r="H46" s="18" t="s">
        <v>284</v>
      </c>
      <c r="I46" s="48">
        <v>97972</v>
      </c>
      <c r="J46" s="48"/>
      <c r="K46" s="48"/>
      <c r="L46" s="48"/>
      <c r="M46" s="48"/>
      <c r="N46" s="48">
        <v>97972</v>
      </c>
      <c r="O46" s="48"/>
      <c r="P46" s="48"/>
      <c r="Q46" s="48"/>
      <c r="R46" s="48"/>
      <c r="S46" s="48"/>
      <c r="T46" s="48"/>
      <c r="U46" s="48"/>
      <c r="V46" s="48"/>
      <c r="W46" s="48"/>
    </row>
    <row r="47" ht="32.9" customHeight="true" spans="1:23">
      <c r="A47" s="18"/>
      <c r="B47" s="18"/>
      <c r="C47" s="18" t="s">
        <v>588</v>
      </c>
      <c r="D47" s="18"/>
      <c r="E47" s="18"/>
      <c r="F47" s="18"/>
      <c r="G47" s="18"/>
      <c r="H47" s="18"/>
      <c r="I47" s="48">
        <v>1215091</v>
      </c>
      <c r="J47" s="48">
        <v>1215091</v>
      </c>
      <c r="K47" s="48">
        <v>1215091</v>
      </c>
      <c r="L47" s="48"/>
      <c r="M47" s="48"/>
      <c r="N47" s="48"/>
      <c r="O47" s="48"/>
      <c r="P47" s="48"/>
      <c r="Q47" s="48"/>
      <c r="R47" s="48"/>
      <c r="S47" s="48"/>
      <c r="T47" s="48"/>
      <c r="U47" s="48"/>
      <c r="V47" s="48"/>
      <c r="W47" s="48"/>
    </row>
    <row r="48" ht="32.9" customHeight="true" spans="1:23">
      <c r="A48" s="18" t="s">
        <v>538</v>
      </c>
      <c r="B48" s="155" t="s">
        <v>589</v>
      </c>
      <c r="C48" s="18" t="s">
        <v>588</v>
      </c>
      <c r="D48" s="18" t="s">
        <v>64</v>
      </c>
      <c r="E48" s="18" t="s">
        <v>141</v>
      </c>
      <c r="F48" s="18" t="s">
        <v>555</v>
      </c>
      <c r="G48" s="18" t="s">
        <v>546</v>
      </c>
      <c r="H48" s="18" t="s">
        <v>98</v>
      </c>
      <c r="I48" s="48">
        <v>1215091</v>
      </c>
      <c r="J48" s="48">
        <v>1215091</v>
      </c>
      <c r="K48" s="48">
        <v>1215091</v>
      </c>
      <c r="L48" s="48"/>
      <c r="M48" s="48"/>
      <c r="N48" s="48"/>
      <c r="O48" s="48"/>
      <c r="P48" s="48"/>
      <c r="Q48" s="48"/>
      <c r="R48" s="48"/>
      <c r="S48" s="48"/>
      <c r="T48" s="48"/>
      <c r="U48" s="48"/>
      <c r="V48" s="48"/>
      <c r="W48" s="48"/>
    </row>
    <row r="49" ht="32.9" customHeight="true" spans="1:23">
      <c r="A49" s="18"/>
      <c r="B49" s="18"/>
      <c r="C49" s="18" t="s">
        <v>590</v>
      </c>
      <c r="D49" s="18"/>
      <c r="E49" s="18"/>
      <c r="F49" s="18"/>
      <c r="G49" s="18"/>
      <c r="H49" s="18"/>
      <c r="I49" s="48">
        <v>1329291</v>
      </c>
      <c r="J49" s="48"/>
      <c r="K49" s="48"/>
      <c r="L49" s="48"/>
      <c r="M49" s="48"/>
      <c r="N49" s="48">
        <v>1329291</v>
      </c>
      <c r="O49" s="48"/>
      <c r="P49" s="48"/>
      <c r="Q49" s="48"/>
      <c r="R49" s="48"/>
      <c r="S49" s="48"/>
      <c r="T49" s="48"/>
      <c r="U49" s="48"/>
      <c r="V49" s="48"/>
      <c r="W49" s="48"/>
    </row>
    <row r="50" ht="32.9" customHeight="true" spans="1:23">
      <c r="A50" s="18" t="s">
        <v>559</v>
      </c>
      <c r="B50" s="155" t="s">
        <v>591</v>
      </c>
      <c r="C50" s="18" t="s">
        <v>590</v>
      </c>
      <c r="D50" s="18" t="s">
        <v>64</v>
      </c>
      <c r="E50" s="18" t="s">
        <v>126</v>
      </c>
      <c r="F50" s="18" t="s">
        <v>542</v>
      </c>
      <c r="G50" s="18" t="s">
        <v>275</v>
      </c>
      <c r="H50" s="18" t="s">
        <v>276</v>
      </c>
      <c r="I50" s="48">
        <v>474534</v>
      </c>
      <c r="J50" s="48"/>
      <c r="K50" s="48"/>
      <c r="L50" s="48"/>
      <c r="M50" s="48"/>
      <c r="N50" s="48">
        <v>474534</v>
      </c>
      <c r="O50" s="48"/>
      <c r="P50" s="48"/>
      <c r="Q50" s="48"/>
      <c r="R50" s="48"/>
      <c r="S50" s="48"/>
      <c r="T50" s="48"/>
      <c r="U50" s="48"/>
      <c r="V50" s="48"/>
      <c r="W50" s="48"/>
    </row>
    <row r="51" ht="32.9" customHeight="true" spans="1:23">
      <c r="A51" s="18" t="s">
        <v>559</v>
      </c>
      <c r="B51" s="155" t="s">
        <v>591</v>
      </c>
      <c r="C51" s="18" t="s">
        <v>590</v>
      </c>
      <c r="D51" s="18" t="s">
        <v>64</v>
      </c>
      <c r="E51" s="18" t="s">
        <v>126</v>
      </c>
      <c r="F51" s="18" t="s">
        <v>542</v>
      </c>
      <c r="G51" s="18" t="s">
        <v>341</v>
      </c>
      <c r="H51" s="18" t="s">
        <v>342</v>
      </c>
      <c r="I51" s="48">
        <v>6000</v>
      </c>
      <c r="J51" s="48"/>
      <c r="K51" s="48"/>
      <c r="L51" s="48"/>
      <c r="M51" s="48"/>
      <c r="N51" s="48">
        <v>6000</v>
      </c>
      <c r="O51" s="48"/>
      <c r="P51" s="48"/>
      <c r="Q51" s="48"/>
      <c r="R51" s="48"/>
      <c r="S51" s="48"/>
      <c r="T51" s="48"/>
      <c r="U51" s="48"/>
      <c r="V51" s="48"/>
      <c r="W51" s="48"/>
    </row>
    <row r="52" ht="32.9" customHeight="true" spans="1:23">
      <c r="A52" s="18" t="s">
        <v>559</v>
      </c>
      <c r="B52" s="155" t="s">
        <v>591</v>
      </c>
      <c r="C52" s="18" t="s">
        <v>590</v>
      </c>
      <c r="D52" s="18" t="s">
        <v>64</v>
      </c>
      <c r="E52" s="18" t="s">
        <v>126</v>
      </c>
      <c r="F52" s="18" t="s">
        <v>542</v>
      </c>
      <c r="G52" s="18" t="s">
        <v>277</v>
      </c>
      <c r="H52" s="18" t="s">
        <v>278</v>
      </c>
      <c r="I52" s="48">
        <v>30159.2</v>
      </c>
      <c r="J52" s="48"/>
      <c r="K52" s="48"/>
      <c r="L52" s="48"/>
      <c r="M52" s="48"/>
      <c r="N52" s="48">
        <v>30159.2</v>
      </c>
      <c r="O52" s="48"/>
      <c r="P52" s="48"/>
      <c r="Q52" s="48"/>
      <c r="R52" s="48"/>
      <c r="S52" s="48"/>
      <c r="T52" s="48"/>
      <c r="U52" s="48"/>
      <c r="V52" s="48"/>
      <c r="W52" s="48"/>
    </row>
    <row r="53" ht="32.9" customHeight="true" spans="1:23">
      <c r="A53" s="18" t="s">
        <v>559</v>
      </c>
      <c r="B53" s="155" t="s">
        <v>591</v>
      </c>
      <c r="C53" s="18" t="s">
        <v>590</v>
      </c>
      <c r="D53" s="18" t="s">
        <v>64</v>
      </c>
      <c r="E53" s="18" t="s">
        <v>126</v>
      </c>
      <c r="F53" s="18" t="s">
        <v>542</v>
      </c>
      <c r="G53" s="18" t="s">
        <v>279</v>
      </c>
      <c r="H53" s="18" t="s">
        <v>280</v>
      </c>
      <c r="I53" s="48">
        <v>81418.8</v>
      </c>
      <c r="J53" s="48"/>
      <c r="K53" s="48"/>
      <c r="L53" s="48"/>
      <c r="M53" s="48"/>
      <c r="N53" s="48">
        <v>81418.8</v>
      </c>
      <c r="O53" s="48"/>
      <c r="P53" s="48"/>
      <c r="Q53" s="48"/>
      <c r="R53" s="48"/>
      <c r="S53" s="48"/>
      <c r="T53" s="48"/>
      <c r="U53" s="48"/>
      <c r="V53" s="48"/>
      <c r="W53" s="48"/>
    </row>
    <row r="54" ht="32.9" customHeight="true" spans="1:23">
      <c r="A54" s="18" t="s">
        <v>559</v>
      </c>
      <c r="B54" s="155" t="s">
        <v>591</v>
      </c>
      <c r="C54" s="18" t="s">
        <v>590</v>
      </c>
      <c r="D54" s="18" t="s">
        <v>64</v>
      </c>
      <c r="E54" s="18" t="s">
        <v>126</v>
      </c>
      <c r="F54" s="18" t="s">
        <v>542</v>
      </c>
      <c r="G54" s="18" t="s">
        <v>281</v>
      </c>
      <c r="H54" s="18" t="s">
        <v>282</v>
      </c>
      <c r="I54" s="48">
        <v>13546</v>
      </c>
      <c r="J54" s="48"/>
      <c r="K54" s="48"/>
      <c r="L54" s="48"/>
      <c r="M54" s="48"/>
      <c r="N54" s="48">
        <v>13546</v>
      </c>
      <c r="O54" s="48"/>
      <c r="P54" s="48"/>
      <c r="Q54" s="48"/>
      <c r="R54" s="48"/>
      <c r="S54" s="48"/>
      <c r="T54" s="48"/>
      <c r="U54" s="48"/>
      <c r="V54" s="48"/>
      <c r="W54" s="48"/>
    </row>
    <row r="55" ht="32.9" customHeight="true" spans="1:23">
      <c r="A55" s="18" t="s">
        <v>559</v>
      </c>
      <c r="B55" s="155" t="s">
        <v>591</v>
      </c>
      <c r="C55" s="18" t="s">
        <v>590</v>
      </c>
      <c r="D55" s="18" t="s">
        <v>64</v>
      </c>
      <c r="E55" s="18" t="s">
        <v>126</v>
      </c>
      <c r="F55" s="18" t="s">
        <v>542</v>
      </c>
      <c r="G55" s="18" t="s">
        <v>316</v>
      </c>
      <c r="H55" s="18" t="s">
        <v>317</v>
      </c>
      <c r="I55" s="48">
        <v>3960</v>
      </c>
      <c r="J55" s="48"/>
      <c r="K55" s="48"/>
      <c r="L55" s="48"/>
      <c r="M55" s="48"/>
      <c r="N55" s="48">
        <v>3960</v>
      </c>
      <c r="O55" s="48"/>
      <c r="P55" s="48"/>
      <c r="Q55" s="48"/>
      <c r="R55" s="48"/>
      <c r="S55" s="48"/>
      <c r="T55" s="48"/>
      <c r="U55" s="48"/>
      <c r="V55" s="48"/>
      <c r="W55" s="48"/>
    </row>
    <row r="56" ht="32.9" customHeight="true" spans="1:23">
      <c r="A56" s="18" t="s">
        <v>559</v>
      </c>
      <c r="B56" s="155" t="s">
        <v>591</v>
      </c>
      <c r="C56" s="18" t="s">
        <v>590</v>
      </c>
      <c r="D56" s="18" t="s">
        <v>64</v>
      </c>
      <c r="E56" s="18" t="s">
        <v>126</v>
      </c>
      <c r="F56" s="18" t="s">
        <v>542</v>
      </c>
      <c r="G56" s="18" t="s">
        <v>283</v>
      </c>
      <c r="H56" s="18" t="s">
        <v>284</v>
      </c>
      <c r="I56" s="48">
        <v>659610</v>
      </c>
      <c r="J56" s="48"/>
      <c r="K56" s="48"/>
      <c r="L56" s="48"/>
      <c r="M56" s="48"/>
      <c r="N56" s="48">
        <v>659610</v>
      </c>
      <c r="O56" s="48"/>
      <c r="P56" s="48"/>
      <c r="Q56" s="48"/>
      <c r="R56" s="48"/>
      <c r="S56" s="48"/>
      <c r="T56" s="48"/>
      <c r="U56" s="48"/>
      <c r="V56" s="48"/>
      <c r="W56" s="48"/>
    </row>
    <row r="57" ht="32.9" customHeight="true" spans="1:23">
      <c r="A57" s="18" t="s">
        <v>559</v>
      </c>
      <c r="B57" s="155" t="s">
        <v>591</v>
      </c>
      <c r="C57" s="18" t="s">
        <v>590</v>
      </c>
      <c r="D57" s="18" t="s">
        <v>64</v>
      </c>
      <c r="E57" s="18" t="s">
        <v>126</v>
      </c>
      <c r="F57" s="18" t="s">
        <v>542</v>
      </c>
      <c r="G57" s="18" t="s">
        <v>266</v>
      </c>
      <c r="H57" s="18" t="s">
        <v>267</v>
      </c>
      <c r="I57" s="48">
        <v>60063</v>
      </c>
      <c r="J57" s="48"/>
      <c r="K57" s="48"/>
      <c r="L57" s="48"/>
      <c r="M57" s="48"/>
      <c r="N57" s="48">
        <v>60063</v>
      </c>
      <c r="O57" s="48"/>
      <c r="P57" s="48"/>
      <c r="Q57" s="48"/>
      <c r="R57" s="48"/>
      <c r="S57" s="48"/>
      <c r="T57" s="48"/>
      <c r="U57" s="48"/>
      <c r="V57" s="48"/>
      <c r="W57" s="48"/>
    </row>
    <row r="58" ht="32.9" customHeight="true" spans="1:23">
      <c r="A58" s="18"/>
      <c r="B58" s="18"/>
      <c r="C58" s="18" t="s">
        <v>592</v>
      </c>
      <c r="D58" s="18"/>
      <c r="E58" s="18"/>
      <c r="F58" s="18"/>
      <c r="G58" s="18"/>
      <c r="H58" s="18"/>
      <c r="I58" s="48">
        <v>730000</v>
      </c>
      <c r="J58" s="48"/>
      <c r="K58" s="48"/>
      <c r="L58" s="48"/>
      <c r="M58" s="48"/>
      <c r="N58" s="48">
        <v>730000</v>
      </c>
      <c r="O58" s="48"/>
      <c r="P58" s="48"/>
      <c r="Q58" s="48"/>
      <c r="R58" s="48"/>
      <c r="S58" s="48"/>
      <c r="T58" s="48"/>
      <c r="U58" s="48"/>
      <c r="V58" s="48"/>
      <c r="W58" s="48"/>
    </row>
    <row r="59" ht="32.9" customHeight="true" spans="1:23">
      <c r="A59" s="18" t="s">
        <v>538</v>
      </c>
      <c r="B59" s="155" t="s">
        <v>593</v>
      </c>
      <c r="C59" s="18" t="s">
        <v>592</v>
      </c>
      <c r="D59" s="18" t="s">
        <v>64</v>
      </c>
      <c r="E59" s="18" t="s">
        <v>154</v>
      </c>
      <c r="F59" s="18" t="s">
        <v>569</v>
      </c>
      <c r="G59" s="18" t="s">
        <v>283</v>
      </c>
      <c r="H59" s="18" t="s">
        <v>284</v>
      </c>
      <c r="I59" s="48">
        <v>730000</v>
      </c>
      <c r="J59" s="48"/>
      <c r="K59" s="48"/>
      <c r="L59" s="48"/>
      <c r="M59" s="48"/>
      <c r="N59" s="48">
        <v>730000</v>
      </c>
      <c r="O59" s="48"/>
      <c r="P59" s="48"/>
      <c r="Q59" s="48"/>
      <c r="R59" s="48"/>
      <c r="S59" s="48"/>
      <c r="T59" s="48"/>
      <c r="U59" s="48"/>
      <c r="V59" s="48"/>
      <c r="W59" s="48"/>
    </row>
    <row r="60" ht="32.9" customHeight="true" spans="1:23">
      <c r="A60" s="18"/>
      <c r="B60" s="18"/>
      <c r="C60" s="18" t="s">
        <v>594</v>
      </c>
      <c r="D60" s="18"/>
      <c r="E60" s="18"/>
      <c r="F60" s="18"/>
      <c r="G60" s="18"/>
      <c r="H60" s="18"/>
      <c r="I60" s="48">
        <v>907200</v>
      </c>
      <c r="J60" s="48"/>
      <c r="K60" s="48"/>
      <c r="L60" s="48"/>
      <c r="M60" s="48"/>
      <c r="N60" s="48">
        <v>907200</v>
      </c>
      <c r="O60" s="48"/>
      <c r="P60" s="48"/>
      <c r="Q60" s="48"/>
      <c r="R60" s="48"/>
      <c r="S60" s="48"/>
      <c r="T60" s="48"/>
      <c r="U60" s="48"/>
      <c r="V60" s="48"/>
      <c r="W60" s="48"/>
    </row>
    <row r="61" ht="32.9" customHeight="true" spans="1:23">
      <c r="A61" s="18" t="s">
        <v>559</v>
      </c>
      <c r="B61" s="155" t="s">
        <v>595</v>
      </c>
      <c r="C61" s="18" t="s">
        <v>594</v>
      </c>
      <c r="D61" s="18" t="s">
        <v>64</v>
      </c>
      <c r="E61" s="18" t="s">
        <v>154</v>
      </c>
      <c r="F61" s="18" t="s">
        <v>569</v>
      </c>
      <c r="G61" s="18" t="s">
        <v>275</v>
      </c>
      <c r="H61" s="18" t="s">
        <v>276</v>
      </c>
      <c r="I61" s="48">
        <v>50000</v>
      </c>
      <c r="J61" s="48"/>
      <c r="K61" s="48"/>
      <c r="L61" s="48"/>
      <c r="M61" s="48"/>
      <c r="N61" s="48">
        <v>50000</v>
      </c>
      <c r="O61" s="48"/>
      <c r="P61" s="48"/>
      <c r="Q61" s="48"/>
      <c r="R61" s="48"/>
      <c r="S61" s="48"/>
      <c r="T61" s="48"/>
      <c r="U61" s="48"/>
      <c r="V61" s="48"/>
      <c r="W61" s="48"/>
    </row>
    <row r="62" ht="32.9" customHeight="true" spans="1:23">
      <c r="A62" s="18" t="s">
        <v>559</v>
      </c>
      <c r="B62" s="155" t="s">
        <v>595</v>
      </c>
      <c r="C62" s="18" t="s">
        <v>594</v>
      </c>
      <c r="D62" s="18" t="s">
        <v>64</v>
      </c>
      <c r="E62" s="18" t="s">
        <v>154</v>
      </c>
      <c r="F62" s="18" t="s">
        <v>569</v>
      </c>
      <c r="G62" s="18" t="s">
        <v>281</v>
      </c>
      <c r="H62" s="18" t="s">
        <v>282</v>
      </c>
      <c r="I62" s="48">
        <v>600000</v>
      </c>
      <c r="J62" s="48"/>
      <c r="K62" s="48"/>
      <c r="L62" s="48"/>
      <c r="M62" s="48"/>
      <c r="N62" s="48">
        <v>600000</v>
      </c>
      <c r="O62" s="48"/>
      <c r="P62" s="48"/>
      <c r="Q62" s="48"/>
      <c r="R62" s="48"/>
      <c r="S62" s="48"/>
      <c r="T62" s="48"/>
      <c r="U62" s="48"/>
      <c r="V62" s="48"/>
      <c r="W62" s="48"/>
    </row>
    <row r="63" ht="32.9" customHeight="true" spans="1:23">
      <c r="A63" s="18" t="s">
        <v>559</v>
      </c>
      <c r="B63" s="155" t="s">
        <v>595</v>
      </c>
      <c r="C63" s="18" t="s">
        <v>594</v>
      </c>
      <c r="D63" s="18" t="s">
        <v>64</v>
      </c>
      <c r="E63" s="18" t="s">
        <v>154</v>
      </c>
      <c r="F63" s="18" t="s">
        <v>569</v>
      </c>
      <c r="G63" s="18" t="s">
        <v>283</v>
      </c>
      <c r="H63" s="18" t="s">
        <v>284</v>
      </c>
      <c r="I63" s="48">
        <v>257200</v>
      </c>
      <c r="J63" s="48"/>
      <c r="K63" s="48"/>
      <c r="L63" s="48"/>
      <c r="M63" s="48"/>
      <c r="N63" s="48">
        <v>257200</v>
      </c>
      <c r="O63" s="48"/>
      <c r="P63" s="48"/>
      <c r="Q63" s="48"/>
      <c r="R63" s="48"/>
      <c r="S63" s="48"/>
      <c r="T63" s="48"/>
      <c r="U63" s="48"/>
      <c r="V63" s="48"/>
      <c r="W63" s="48"/>
    </row>
    <row r="64" ht="32.9" customHeight="true" spans="1:23">
      <c r="A64" s="18"/>
      <c r="B64" s="18"/>
      <c r="C64" s="18" t="s">
        <v>596</v>
      </c>
      <c r="D64" s="18"/>
      <c r="E64" s="18"/>
      <c r="F64" s="18"/>
      <c r="G64" s="18"/>
      <c r="H64" s="18"/>
      <c r="I64" s="48">
        <v>567858.4</v>
      </c>
      <c r="J64" s="48"/>
      <c r="K64" s="48"/>
      <c r="L64" s="48"/>
      <c r="M64" s="48"/>
      <c r="N64" s="48">
        <v>567858.4</v>
      </c>
      <c r="O64" s="48"/>
      <c r="P64" s="48"/>
      <c r="Q64" s="48"/>
      <c r="R64" s="48"/>
      <c r="S64" s="48"/>
      <c r="T64" s="48"/>
      <c r="U64" s="48"/>
      <c r="V64" s="48"/>
      <c r="W64" s="48"/>
    </row>
    <row r="65" ht="32.9" customHeight="true" spans="1:23">
      <c r="A65" s="18" t="s">
        <v>567</v>
      </c>
      <c r="B65" s="155" t="s">
        <v>597</v>
      </c>
      <c r="C65" s="18" t="s">
        <v>596</v>
      </c>
      <c r="D65" s="18" t="s">
        <v>64</v>
      </c>
      <c r="E65" s="18" t="s">
        <v>132</v>
      </c>
      <c r="F65" s="18" t="s">
        <v>481</v>
      </c>
      <c r="G65" s="18" t="s">
        <v>341</v>
      </c>
      <c r="H65" s="18" t="s">
        <v>342</v>
      </c>
      <c r="I65" s="48">
        <v>4843.5</v>
      </c>
      <c r="J65" s="48"/>
      <c r="K65" s="48"/>
      <c r="L65" s="48"/>
      <c r="M65" s="48"/>
      <c r="N65" s="48">
        <v>4843.5</v>
      </c>
      <c r="O65" s="48"/>
      <c r="P65" s="48"/>
      <c r="Q65" s="48"/>
      <c r="R65" s="48"/>
      <c r="S65" s="48"/>
      <c r="T65" s="48"/>
      <c r="U65" s="48"/>
      <c r="V65" s="48"/>
      <c r="W65" s="48"/>
    </row>
    <row r="66" ht="32.9" customHeight="true" spans="1:23">
      <c r="A66" s="18" t="s">
        <v>567</v>
      </c>
      <c r="B66" s="155" t="s">
        <v>597</v>
      </c>
      <c r="C66" s="18" t="s">
        <v>596</v>
      </c>
      <c r="D66" s="18" t="s">
        <v>64</v>
      </c>
      <c r="E66" s="18" t="s">
        <v>132</v>
      </c>
      <c r="F66" s="18" t="s">
        <v>481</v>
      </c>
      <c r="G66" s="18" t="s">
        <v>281</v>
      </c>
      <c r="H66" s="18" t="s">
        <v>282</v>
      </c>
      <c r="I66" s="48">
        <v>13014.9</v>
      </c>
      <c r="J66" s="48"/>
      <c r="K66" s="48"/>
      <c r="L66" s="48"/>
      <c r="M66" s="48"/>
      <c r="N66" s="48">
        <v>13014.9</v>
      </c>
      <c r="O66" s="48"/>
      <c r="P66" s="48"/>
      <c r="Q66" s="48"/>
      <c r="R66" s="48"/>
      <c r="S66" s="48"/>
      <c r="T66" s="48"/>
      <c r="U66" s="48"/>
      <c r="V66" s="48"/>
      <c r="W66" s="48"/>
    </row>
    <row r="67" ht="32.9" customHeight="true" spans="1:23">
      <c r="A67" s="18" t="s">
        <v>567</v>
      </c>
      <c r="B67" s="155" t="s">
        <v>597</v>
      </c>
      <c r="C67" s="18" t="s">
        <v>596</v>
      </c>
      <c r="D67" s="18" t="s">
        <v>64</v>
      </c>
      <c r="E67" s="18" t="s">
        <v>132</v>
      </c>
      <c r="F67" s="18" t="s">
        <v>481</v>
      </c>
      <c r="G67" s="18" t="s">
        <v>283</v>
      </c>
      <c r="H67" s="18" t="s">
        <v>284</v>
      </c>
      <c r="I67" s="48">
        <v>550000</v>
      </c>
      <c r="J67" s="48"/>
      <c r="K67" s="48"/>
      <c r="L67" s="48"/>
      <c r="M67" s="48"/>
      <c r="N67" s="48">
        <v>550000</v>
      </c>
      <c r="O67" s="48"/>
      <c r="P67" s="48"/>
      <c r="Q67" s="48"/>
      <c r="R67" s="48"/>
      <c r="S67" s="48"/>
      <c r="T67" s="48"/>
      <c r="U67" s="48"/>
      <c r="V67" s="48"/>
      <c r="W67" s="48"/>
    </row>
    <row r="68" ht="32.9" customHeight="true" spans="1:23">
      <c r="A68" s="18"/>
      <c r="B68" s="18"/>
      <c r="C68" s="18" t="s">
        <v>598</v>
      </c>
      <c r="D68" s="18"/>
      <c r="E68" s="18"/>
      <c r="F68" s="18"/>
      <c r="G68" s="18"/>
      <c r="H68" s="18"/>
      <c r="I68" s="48">
        <v>680000</v>
      </c>
      <c r="J68" s="48"/>
      <c r="K68" s="48"/>
      <c r="L68" s="48"/>
      <c r="M68" s="48"/>
      <c r="N68" s="48">
        <v>680000</v>
      </c>
      <c r="O68" s="48"/>
      <c r="P68" s="48"/>
      <c r="Q68" s="48"/>
      <c r="R68" s="48"/>
      <c r="S68" s="48"/>
      <c r="T68" s="48"/>
      <c r="U68" s="48"/>
      <c r="V68" s="48"/>
      <c r="W68" s="48"/>
    </row>
    <row r="69" ht="32.9" customHeight="true" spans="1:23">
      <c r="A69" s="18" t="s">
        <v>559</v>
      </c>
      <c r="B69" s="155" t="s">
        <v>599</v>
      </c>
      <c r="C69" s="18" t="s">
        <v>598</v>
      </c>
      <c r="D69" s="18" t="s">
        <v>64</v>
      </c>
      <c r="E69" s="18" t="s">
        <v>101</v>
      </c>
      <c r="F69" s="18" t="s">
        <v>307</v>
      </c>
      <c r="G69" s="18" t="s">
        <v>254</v>
      </c>
      <c r="H69" s="18" t="s">
        <v>255</v>
      </c>
      <c r="I69" s="48">
        <v>680000</v>
      </c>
      <c r="J69" s="48"/>
      <c r="K69" s="48"/>
      <c r="L69" s="48"/>
      <c r="M69" s="48"/>
      <c r="N69" s="48">
        <v>680000</v>
      </c>
      <c r="O69" s="48"/>
      <c r="P69" s="48"/>
      <c r="Q69" s="48"/>
      <c r="R69" s="48"/>
      <c r="S69" s="48"/>
      <c r="T69" s="48"/>
      <c r="U69" s="48"/>
      <c r="V69" s="48"/>
      <c r="W69" s="48"/>
    </row>
    <row r="70" ht="32.9" customHeight="true" spans="1:23">
      <c r="A70" s="18"/>
      <c r="B70" s="18"/>
      <c r="C70" s="18" t="s">
        <v>600</v>
      </c>
      <c r="D70" s="18"/>
      <c r="E70" s="18"/>
      <c r="F70" s="18"/>
      <c r="G70" s="18"/>
      <c r="H70" s="18"/>
      <c r="I70" s="48">
        <v>500000</v>
      </c>
      <c r="J70" s="48"/>
      <c r="K70" s="48"/>
      <c r="L70" s="48"/>
      <c r="M70" s="48"/>
      <c r="N70" s="48">
        <v>500000</v>
      </c>
      <c r="O70" s="48"/>
      <c r="P70" s="48"/>
      <c r="Q70" s="48"/>
      <c r="R70" s="48"/>
      <c r="S70" s="48"/>
      <c r="T70" s="48"/>
      <c r="U70" s="48"/>
      <c r="V70" s="48"/>
      <c r="W70" s="48"/>
    </row>
    <row r="71" ht="32.9" customHeight="true" spans="1:23">
      <c r="A71" s="18" t="s">
        <v>567</v>
      </c>
      <c r="B71" s="155" t="s">
        <v>601</v>
      </c>
      <c r="C71" s="18" t="s">
        <v>600</v>
      </c>
      <c r="D71" s="18" t="s">
        <v>64</v>
      </c>
      <c r="E71" s="18" t="s">
        <v>154</v>
      </c>
      <c r="F71" s="18" t="s">
        <v>569</v>
      </c>
      <c r="G71" s="18" t="s">
        <v>281</v>
      </c>
      <c r="H71" s="18" t="s">
        <v>282</v>
      </c>
      <c r="I71" s="48">
        <v>400000</v>
      </c>
      <c r="J71" s="48"/>
      <c r="K71" s="48"/>
      <c r="L71" s="48"/>
      <c r="M71" s="48"/>
      <c r="N71" s="48">
        <v>400000</v>
      </c>
      <c r="O71" s="48"/>
      <c r="P71" s="48"/>
      <c r="Q71" s="48"/>
      <c r="R71" s="48"/>
      <c r="S71" s="48"/>
      <c r="T71" s="48"/>
      <c r="U71" s="48"/>
      <c r="V71" s="48"/>
      <c r="W71" s="48"/>
    </row>
    <row r="72" ht="32.9" customHeight="true" spans="1:23">
      <c r="A72" s="18" t="s">
        <v>567</v>
      </c>
      <c r="B72" s="155" t="s">
        <v>601</v>
      </c>
      <c r="C72" s="18" t="s">
        <v>600</v>
      </c>
      <c r="D72" s="18" t="s">
        <v>64</v>
      </c>
      <c r="E72" s="18" t="s">
        <v>154</v>
      </c>
      <c r="F72" s="18" t="s">
        <v>569</v>
      </c>
      <c r="G72" s="18" t="s">
        <v>283</v>
      </c>
      <c r="H72" s="18" t="s">
        <v>284</v>
      </c>
      <c r="I72" s="48">
        <v>100000</v>
      </c>
      <c r="J72" s="48"/>
      <c r="K72" s="48"/>
      <c r="L72" s="48"/>
      <c r="M72" s="48"/>
      <c r="N72" s="48">
        <v>100000</v>
      </c>
      <c r="O72" s="48"/>
      <c r="P72" s="48"/>
      <c r="Q72" s="48"/>
      <c r="R72" s="48"/>
      <c r="S72" s="48"/>
      <c r="T72" s="48"/>
      <c r="U72" s="48"/>
      <c r="V72" s="48"/>
      <c r="W72" s="48"/>
    </row>
    <row r="73" ht="32.9" customHeight="true" spans="1:23">
      <c r="A73" s="18"/>
      <c r="B73" s="18"/>
      <c r="C73" s="18" t="s">
        <v>602</v>
      </c>
      <c r="D73" s="18"/>
      <c r="E73" s="18"/>
      <c r="F73" s="18"/>
      <c r="G73" s="18"/>
      <c r="H73" s="18"/>
      <c r="I73" s="48">
        <v>663800</v>
      </c>
      <c r="J73" s="48"/>
      <c r="K73" s="48"/>
      <c r="L73" s="48"/>
      <c r="M73" s="48"/>
      <c r="N73" s="48">
        <v>663800</v>
      </c>
      <c r="O73" s="48"/>
      <c r="P73" s="48"/>
      <c r="Q73" s="48"/>
      <c r="R73" s="48"/>
      <c r="S73" s="48"/>
      <c r="T73" s="48"/>
      <c r="U73" s="48"/>
      <c r="V73" s="48"/>
      <c r="W73" s="48"/>
    </row>
    <row r="74" ht="32.9" customHeight="true" spans="1:23">
      <c r="A74" s="18" t="s">
        <v>538</v>
      </c>
      <c r="B74" s="155" t="s">
        <v>603</v>
      </c>
      <c r="C74" s="18" t="s">
        <v>602</v>
      </c>
      <c r="D74" s="18" t="s">
        <v>64</v>
      </c>
      <c r="E74" s="18" t="s">
        <v>142</v>
      </c>
      <c r="F74" s="18" t="s">
        <v>549</v>
      </c>
      <c r="G74" s="18" t="s">
        <v>283</v>
      </c>
      <c r="H74" s="18" t="s">
        <v>284</v>
      </c>
      <c r="I74" s="48">
        <v>663800</v>
      </c>
      <c r="J74" s="48"/>
      <c r="K74" s="48"/>
      <c r="L74" s="48"/>
      <c r="M74" s="48"/>
      <c r="N74" s="48">
        <v>663800</v>
      </c>
      <c r="O74" s="48"/>
      <c r="P74" s="48"/>
      <c r="Q74" s="48"/>
      <c r="R74" s="48"/>
      <c r="S74" s="48"/>
      <c r="T74" s="48"/>
      <c r="U74" s="48"/>
      <c r="V74" s="48"/>
      <c r="W74" s="48"/>
    </row>
    <row r="75" ht="32.9" customHeight="true" spans="1:23">
      <c r="A75" s="18"/>
      <c r="B75" s="18"/>
      <c r="C75" s="18" t="s">
        <v>604</v>
      </c>
      <c r="D75" s="18"/>
      <c r="E75" s="18"/>
      <c r="F75" s="18"/>
      <c r="G75" s="18"/>
      <c r="H75" s="18"/>
      <c r="I75" s="48">
        <v>281700</v>
      </c>
      <c r="J75" s="48">
        <v>281700</v>
      </c>
      <c r="K75" s="48">
        <v>281700</v>
      </c>
      <c r="L75" s="48"/>
      <c r="M75" s="48"/>
      <c r="N75" s="48"/>
      <c r="O75" s="48"/>
      <c r="P75" s="48"/>
      <c r="Q75" s="48"/>
      <c r="R75" s="48"/>
      <c r="S75" s="48"/>
      <c r="T75" s="48"/>
      <c r="U75" s="48"/>
      <c r="V75" s="48"/>
      <c r="W75" s="48"/>
    </row>
    <row r="76" ht="32.9" customHeight="true" spans="1:23">
      <c r="A76" s="18" t="s">
        <v>567</v>
      </c>
      <c r="B76" s="155" t="s">
        <v>605</v>
      </c>
      <c r="C76" s="18" t="s">
        <v>604</v>
      </c>
      <c r="D76" s="18" t="s">
        <v>64</v>
      </c>
      <c r="E76" s="18" t="s">
        <v>154</v>
      </c>
      <c r="F76" s="18" t="s">
        <v>569</v>
      </c>
      <c r="G76" s="18" t="s">
        <v>316</v>
      </c>
      <c r="H76" s="18" t="s">
        <v>317</v>
      </c>
      <c r="I76" s="48">
        <v>276000</v>
      </c>
      <c r="J76" s="48">
        <v>276000</v>
      </c>
      <c r="K76" s="48">
        <v>276000</v>
      </c>
      <c r="L76" s="48"/>
      <c r="M76" s="48"/>
      <c r="N76" s="48"/>
      <c r="O76" s="48"/>
      <c r="P76" s="48"/>
      <c r="Q76" s="48"/>
      <c r="R76" s="48"/>
      <c r="S76" s="48"/>
      <c r="T76" s="48"/>
      <c r="U76" s="48"/>
      <c r="V76" s="48"/>
      <c r="W76" s="48"/>
    </row>
    <row r="77" ht="32.9" customHeight="true" spans="1:23">
      <c r="A77" s="18" t="s">
        <v>567</v>
      </c>
      <c r="B77" s="155" t="s">
        <v>605</v>
      </c>
      <c r="C77" s="18" t="s">
        <v>604</v>
      </c>
      <c r="D77" s="18" t="s">
        <v>64</v>
      </c>
      <c r="E77" s="18" t="s">
        <v>154</v>
      </c>
      <c r="F77" s="18" t="s">
        <v>569</v>
      </c>
      <c r="G77" s="18" t="s">
        <v>283</v>
      </c>
      <c r="H77" s="18" t="s">
        <v>284</v>
      </c>
      <c r="I77" s="48">
        <v>3000</v>
      </c>
      <c r="J77" s="48">
        <v>3000</v>
      </c>
      <c r="K77" s="48">
        <v>3000</v>
      </c>
      <c r="L77" s="48"/>
      <c r="M77" s="48"/>
      <c r="N77" s="48"/>
      <c r="O77" s="48"/>
      <c r="P77" s="48"/>
      <c r="Q77" s="48"/>
      <c r="R77" s="48"/>
      <c r="S77" s="48"/>
      <c r="T77" s="48"/>
      <c r="U77" s="48"/>
      <c r="V77" s="48"/>
      <c r="W77" s="48"/>
    </row>
    <row r="78" ht="32.9" customHeight="true" spans="1:23">
      <c r="A78" s="18" t="s">
        <v>567</v>
      </c>
      <c r="B78" s="155" t="s">
        <v>605</v>
      </c>
      <c r="C78" s="18" t="s">
        <v>604</v>
      </c>
      <c r="D78" s="18" t="s">
        <v>64</v>
      </c>
      <c r="E78" s="18" t="s">
        <v>154</v>
      </c>
      <c r="F78" s="18" t="s">
        <v>569</v>
      </c>
      <c r="G78" s="18" t="s">
        <v>273</v>
      </c>
      <c r="H78" s="18" t="s">
        <v>274</v>
      </c>
      <c r="I78" s="48">
        <v>2700</v>
      </c>
      <c r="J78" s="48">
        <v>2700</v>
      </c>
      <c r="K78" s="48">
        <v>2700</v>
      </c>
      <c r="L78" s="48"/>
      <c r="M78" s="48"/>
      <c r="N78" s="48"/>
      <c r="O78" s="48"/>
      <c r="P78" s="48"/>
      <c r="Q78" s="48"/>
      <c r="R78" s="48"/>
      <c r="S78" s="48"/>
      <c r="T78" s="48"/>
      <c r="U78" s="48"/>
      <c r="V78" s="48"/>
      <c r="W78" s="48"/>
    </row>
    <row r="79" ht="32.9" customHeight="true" spans="1:23">
      <c r="A79" s="18"/>
      <c r="B79" s="18"/>
      <c r="C79" s="18" t="s">
        <v>606</v>
      </c>
      <c r="D79" s="18"/>
      <c r="E79" s="18"/>
      <c r="F79" s="18"/>
      <c r="G79" s="18"/>
      <c r="H79" s="18"/>
      <c r="I79" s="48">
        <v>1565000</v>
      </c>
      <c r="J79" s="48">
        <v>1565000</v>
      </c>
      <c r="K79" s="48">
        <v>1565000</v>
      </c>
      <c r="L79" s="48"/>
      <c r="M79" s="48"/>
      <c r="N79" s="48"/>
      <c r="O79" s="48"/>
      <c r="P79" s="48"/>
      <c r="Q79" s="48"/>
      <c r="R79" s="48"/>
      <c r="S79" s="48"/>
      <c r="T79" s="48"/>
      <c r="U79" s="48"/>
      <c r="V79" s="48"/>
      <c r="W79" s="48"/>
    </row>
    <row r="80" ht="32.9" customHeight="true" spans="1:23">
      <c r="A80" s="18" t="s">
        <v>559</v>
      </c>
      <c r="B80" s="155" t="s">
        <v>607</v>
      </c>
      <c r="C80" s="18" t="s">
        <v>606</v>
      </c>
      <c r="D80" s="18" t="s">
        <v>64</v>
      </c>
      <c r="E80" s="18" t="s">
        <v>142</v>
      </c>
      <c r="F80" s="18" t="s">
        <v>549</v>
      </c>
      <c r="G80" s="18" t="s">
        <v>546</v>
      </c>
      <c r="H80" s="18" t="s">
        <v>98</v>
      </c>
      <c r="I80" s="48">
        <v>1565000</v>
      </c>
      <c r="J80" s="48">
        <v>1565000</v>
      </c>
      <c r="K80" s="48">
        <v>1565000</v>
      </c>
      <c r="L80" s="48"/>
      <c r="M80" s="48"/>
      <c r="N80" s="48"/>
      <c r="O80" s="48"/>
      <c r="P80" s="48"/>
      <c r="Q80" s="48"/>
      <c r="R80" s="48"/>
      <c r="S80" s="48"/>
      <c r="T80" s="48"/>
      <c r="U80" s="48"/>
      <c r="V80" s="48"/>
      <c r="W80" s="48"/>
    </row>
    <row r="81" ht="32.9" customHeight="true" spans="1:23">
      <c r="A81" s="18"/>
      <c r="B81" s="18"/>
      <c r="C81" s="18" t="s">
        <v>608</v>
      </c>
      <c r="D81" s="18"/>
      <c r="E81" s="18"/>
      <c r="F81" s="18"/>
      <c r="G81" s="18"/>
      <c r="H81" s="18"/>
      <c r="I81" s="48">
        <v>400000</v>
      </c>
      <c r="J81" s="48">
        <v>400000</v>
      </c>
      <c r="K81" s="48">
        <v>400000</v>
      </c>
      <c r="L81" s="48"/>
      <c r="M81" s="48"/>
      <c r="N81" s="48"/>
      <c r="O81" s="48"/>
      <c r="P81" s="48"/>
      <c r="Q81" s="48"/>
      <c r="R81" s="48"/>
      <c r="S81" s="48"/>
      <c r="T81" s="48"/>
      <c r="U81" s="48"/>
      <c r="V81" s="48"/>
      <c r="W81" s="48"/>
    </row>
    <row r="82" ht="32.9" customHeight="true" spans="1:23">
      <c r="A82" s="18" t="s">
        <v>559</v>
      </c>
      <c r="B82" s="155" t="s">
        <v>609</v>
      </c>
      <c r="C82" s="18" t="s">
        <v>608</v>
      </c>
      <c r="D82" s="18" t="s">
        <v>64</v>
      </c>
      <c r="E82" s="18" t="s">
        <v>142</v>
      </c>
      <c r="F82" s="18" t="s">
        <v>549</v>
      </c>
      <c r="G82" s="18" t="s">
        <v>283</v>
      </c>
      <c r="H82" s="18" t="s">
        <v>284</v>
      </c>
      <c r="I82" s="48">
        <v>400000</v>
      </c>
      <c r="J82" s="48">
        <v>400000</v>
      </c>
      <c r="K82" s="48">
        <v>400000</v>
      </c>
      <c r="L82" s="48"/>
      <c r="M82" s="48"/>
      <c r="N82" s="48"/>
      <c r="O82" s="48"/>
      <c r="P82" s="48"/>
      <c r="Q82" s="48"/>
      <c r="R82" s="48"/>
      <c r="S82" s="48"/>
      <c r="T82" s="48"/>
      <c r="U82" s="48"/>
      <c r="V82" s="48"/>
      <c r="W82" s="48"/>
    </row>
    <row r="83" ht="32.9" customHeight="true" spans="1:23">
      <c r="A83" s="18"/>
      <c r="B83" s="18"/>
      <c r="C83" s="18" t="s">
        <v>610</v>
      </c>
      <c r="D83" s="18"/>
      <c r="E83" s="18"/>
      <c r="F83" s="18"/>
      <c r="G83" s="18"/>
      <c r="H83" s="18"/>
      <c r="I83" s="48">
        <v>600000</v>
      </c>
      <c r="J83" s="48">
        <v>600000</v>
      </c>
      <c r="K83" s="48">
        <v>600000</v>
      </c>
      <c r="L83" s="48"/>
      <c r="M83" s="48"/>
      <c r="N83" s="48"/>
      <c r="O83" s="48"/>
      <c r="P83" s="48"/>
      <c r="Q83" s="48"/>
      <c r="R83" s="48"/>
      <c r="S83" s="48"/>
      <c r="T83" s="48"/>
      <c r="U83" s="48"/>
      <c r="V83" s="48"/>
      <c r="W83" s="48"/>
    </row>
    <row r="84" ht="32.9" customHeight="true" spans="1:23">
      <c r="A84" s="18" t="s">
        <v>559</v>
      </c>
      <c r="B84" s="155" t="s">
        <v>611</v>
      </c>
      <c r="C84" s="18" t="s">
        <v>610</v>
      </c>
      <c r="D84" s="18" t="s">
        <v>64</v>
      </c>
      <c r="E84" s="18" t="s">
        <v>154</v>
      </c>
      <c r="F84" s="18" t="s">
        <v>569</v>
      </c>
      <c r="G84" s="18" t="s">
        <v>283</v>
      </c>
      <c r="H84" s="18" t="s">
        <v>284</v>
      </c>
      <c r="I84" s="48">
        <v>600000</v>
      </c>
      <c r="J84" s="48">
        <v>600000</v>
      </c>
      <c r="K84" s="48">
        <v>600000</v>
      </c>
      <c r="L84" s="48"/>
      <c r="M84" s="48"/>
      <c r="N84" s="48"/>
      <c r="O84" s="48"/>
      <c r="P84" s="48"/>
      <c r="Q84" s="48"/>
      <c r="R84" s="48"/>
      <c r="S84" s="48"/>
      <c r="T84" s="48"/>
      <c r="U84" s="48"/>
      <c r="V84" s="48"/>
      <c r="W84" s="48"/>
    </row>
    <row r="85" ht="32.9" customHeight="true" spans="1:23">
      <c r="A85" s="18"/>
      <c r="B85" s="18"/>
      <c r="C85" s="18" t="s">
        <v>612</v>
      </c>
      <c r="D85" s="18"/>
      <c r="E85" s="18"/>
      <c r="F85" s="18"/>
      <c r="G85" s="18"/>
      <c r="H85" s="18"/>
      <c r="I85" s="48">
        <v>400000</v>
      </c>
      <c r="J85" s="48">
        <v>400000</v>
      </c>
      <c r="K85" s="48">
        <v>400000</v>
      </c>
      <c r="L85" s="48"/>
      <c r="M85" s="48"/>
      <c r="N85" s="48"/>
      <c r="O85" s="48"/>
      <c r="P85" s="48"/>
      <c r="Q85" s="48"/>
      <c r="R85" s="48"/>
      <c r="S85" s="48"/>
      <c r="T85" s="48"/>
      <c r="U85" s="48"/>
      <c r="V85" s="48"/>
      <c r="W85" s="48"/>
    </row>
    <row r="86" ht="32.9" customHeight="true" spans="1:23">
      <c r="A86" s="18" t="s">
        <v>567</v>
      </c>
      <c r="B86" s="155" t="s">
        <v>613</v>
      </c>
      <c r="C86" s="18" t="s">
        <v>612</v>
      </c>
      <c r="D86" s="18" t="s">
        <v>64</v>
      </c>
      <c r="E86" s="18" t="s">
        <v>154</v>
      </c>
      <c r="F86" s="18" t="s">
        <v>569</v>
      </c>
      <c r="G86" s="18" t="s">
        <v>275</v>
      </c>
      <c r="H86" s="18" t="s">
        <v>276</v>
      </c>
      <c r="I86" s="48">
        <v>50000</v>
      </c>
      <c r="J86" s="48">
        <v>50000</v>
      </c>
      <c r="K86" s="48">
        <v>50000</v>
      </c>
      <c r="L86" s="48"/>
      <c r="M86" s="48"/>
      <c r="N86" s="48"/>
      <c r="O86" s="48"/>
      <c r="P86" s="48"/>
      <c r="Q86" s="48"/>
      <c r="R86" s="48"/>
      <c r="S86" s="48"/>
      <c r="T86" s="48"/>
      <c r="U86" s="48"/>
      <c r="V86" s="48"/>
      <c r="W86" s="48"/>
    </row>
    <row r="87" ht="32.9" customHeight="true" spans="1:23">
      <c r="A87" s="18" t="s">
        <v>567</v>
      </c>
      <c r="B87" s="155" t="s">
        <v>613</v>
      </c>
      <c r="C87" s="18" t="s">
        <v>612</v>
      </c>
      <c r="D87" s="18" t="s">
        <v>64</v>
      </c>
      <c r="E87" s="18" t="s">
        <v>154</v>
      </c>
      <c r="F87" s="18" t="s">
        <v>569</v>
      </c>
      <c r="G87" s="18" t="s">
        <v>341</v>
      </c>
      <c r="H87" s="18" t="s">
        <v>342</v>
      </c>
      <c r="I87" s="48">
        <v>50000</v>
      </c>
      <c r="J87" s="48">
        <v>50000</v>
      </c>
      <c r="K87" s="48">
        <v>50000</v>
      </c>
      <c r="L87" s="48"/>
      <c r="M87" s="48"/>
      <c r="N87" s="48"/>
      <c r="O87" s="48"/>
      <c r="P87" s="48"/>
      <c r="Q87" s="48"/>
      <c r="R87" s="48"/>
      <c r="S87" s="48"/>
      <c r="T87" s="48"/>
      <c r="U87" s="48"/>
      <c r="V87" s="48"/>
      <c r="W87" s="48"/>
    </row>
    <row r="88" ht="32.9" customHeight="true" spans="1:23">
      <c r="A88" s="18" t="s">
        <v>567</v>
      </c>
      <c r="B88" s="155" t="s">
        <v>613</v>
      </c>
      <c r="C88" s="18" t="s">
        <v>612</v>
      </c>
      <c r="D88" s="18" t="s">
        <v>64</v>
      </c>
      <c r="E88" s="18" t="s">
        <v>154</v>
      </c>
      <c r="F88" s="18" t="s">
        <v>569</v>
      </c>
      <c r="G88" s="18" t="s">
        <v>316</v>
      </c>
      <c r="H88" s="18" t="s">
        <v>317</v>
      </c>
      <c r="I88" s="48">
        <v>290000</v>
      </c>
      <c r="J88" s="48">
        <v>290000</v>
      </c>
      <c r="K88" s="48">
        <v>290000</v>
      </c>
      <c r="L88" s="48"/>
      <c r="M88" s="48"/>
      <c r="N88" s="48"/>
      <c r="O88" s="48"/>
      <c r="P88" s="48"/>
      <c r="Q88" s="48"/>
      <c r="R88" s="48"/>
      <c r="S88" s="48"/>
      <c r="T88" s="48"/>
      <c r="U88" s="48"/>
      <c r="V88" s="48"/>
      <c r="W88" s="48"/>
    </row>
    <row r="89" ht="32.9" customHeight="true" spans="1:23">
      <c r="A89" s="18" t="s">
        <v>567</v>
      </c>
      <c r="B89" s="155" t="s">
        <v>613</v>
      </c>
      <c r="C89" s="18" t="s">
        <v>612</v>
      </c>
      <c r="D89" s="18" t="s">
        <v>64</v>
      </c>
      <c r="E89" s="18" t="s">
        <v>154</v>
      </c>
      <c r="F89" s="18" t="s">
        <v>569</v>
      </c>
      <c r="G89" s="18" t="s">
        <v>273</v>
      </c>
      <c r="H89" s="18" t="s">
        <v>274</v>
      </c>
      <c r="I89" s="48">
        <v>10000</v>
      </c>
      <c r="J89" s="48">
        <v>10000</v>
      </c>
      <c r="K89" s="48">
        <v>10000</v>
      </c>
      <c r="L89" s="48"/>
      <c r="M89" s="48"/>
      <c r="N89" s="48"/>
      <c r="O89" s="48"/>
      <c r="P89" s="48"/>
      <c r="Q89" s="48"/>
      <c r="R89" s="48"/>
      <c r="S89" s="48"/>
      <c r="T89" s="48"/>
      <c r="U89" s="48"/>
      <c r="V89" s="48"/>
      <c r="W89" s="48"/>
    </row>
    <row r="90" ht="32.9" customHeight="true" spans="1:23">
      <c r="A90" s="18"/>
      <c r="B90" s="18"/>
      <c r="C90" s="18" t="s">
        <v>614</v>
      </c>
      <c r="D90" s="18"/>
      <c r="E90" s="18"/>
      <c r="F90" s="18"/>
      <c r="G90" s="18"/>
      <c r="H90" s="18"/>
      <c r="I90" s="48">
        <v>343800</v>
      </c>
      <c r="J90" s="48">
        <v>343800</v>
      </c>
      <c r="K90" s="48">
        <v>343800</v>
      </c>
      <c r="L90" s="48"/>
      <c r="M90" s="48"/>
      <c r="N90" s="48"/>
      <c r="O90" s="48"/>
      <c r="P90" s="48"/>
      <c r="Q90" s="48"/>
      <c r="R90" s="48"/>
      <c r="S90" s="48"/>
      <c r="T90" s="48"/>
      <c r="U90" s="48"/>
      <c r="V90" s="48"/>
      <c r="W90" s="48"/>
    </row>
    <row r="91" ht="32.9" customHeight="true" spans="1:23">
      <c r="A91" s="18" t="s">
        <v>538</v>
      </c>
      <c r="B91" s="155" t="s">
        <v>615</v>
      </c>
      <c r="C91" s="18" t="s">
        <v>614</v>
      </c>
      <c r="D91" s="18" t="s">
        <v>64</v>
      </c>
      <c r="E91" s="18" t="s">
        <v>145</v>
      </c>
      <c r="F91" s="18" t="s">
        <v>616</v>
      </c>
      <c r="G91" s="18" t="s">
        <v>283</v>
      </c>
      <c r="H91" s="18" t="s">
        <v>284</v>
      </c>
      <c r="I91" s="48">
        <v>343800</v>
      </c>
      <c r="J91" s="48">
        <v>343800</v>
      </c>
      <c r="K91" s="48">
        <v>343800</v>
      </c>
      <c r="L91" s="48"/>
      <c r="M91" s="48"/>
      <c r="N91" s="48"/>
      <c r="O91" s="48"/>
      <c r="P91" s="48"/>
      <c r="Q91" s="48"/>
      <c r="R91" s="48"/>
      <c r="S91" s="48"/>
      <c r="T91" s="48"/>
      <c r="U91" s="48"/>
      <c r="V91" s="48"/>
      <c r="W91" s="48"/>
    </row>
    <row r="92" ht="32.9" customHeight="true" spans="1:23">
      <c r="A92" s="18"/>
      <c r="B92" s="18"/>
      <c r="C92" s="18" t="s">
        <v>617</v>
      </c>
      <c r="D92" s="18"/>
      <c r="E92" s="18"/>
      <c r="F92" s="18"/>
      <c r="G92" s="18"/>
      <c r="H92" s="18"/>
      <c r="I92" s="48">
        <v>500000</v>
      </c>
      <c r="J92" s="48">
        <v>500000</v>
      </c>
      <c r="K92" s="48">
        <v>500000</v>
      </c>
      <c r="L92" s="48"/>
      <c r="M92" s="48"/>
      <c r="N92" s="48"/>
      <c r="O92" s="48"/>
      <c r="P92" s="48"/>
      <c r="Q92" s="48"/>
      <c r="R92" s="48"/>
      <c r="S92" s="48"/>
      <c r="T92" s="48"/>
      <c r="U92" s="48"/>
      <c r="V92" s="48"/>
      <c r="W92" s="48"/>
    </row>
    <row r="93" ht="32.9" customHeight="true" spans="1:23">
      <c r="A93" s="18" t="s">
        <v>559</v>
      </c>
      <c r="B93" s="155" t="s">
        <v>618</v>
      </c>
      <c r="C93" s="18" t="s">
        <v>617</v>
      </c>
      <c r="D93" s="18" t="s">
        <v>64</v>
      </c>
      <c r="E93" s="18" t="s">
        <v>110</v>
      </c>
      <c r="F93" s="18" t="s">
        <v>563</v>
      </c>
      <c r="G93" s="18" t="s">
        <v>546</v>
      </c>
      <c r="H93" s="18" t="s">
        <v>98</v>
      </c>
      <c r="I93" s="48">
        <v>500000</v>
      </c>
      <c r="J93" s="48">
        <v>500000</v>
      </c>
      <c r="K93" s="48">
        <v>500000</v>
      </c>
      <c r="L93" s="48"/>
      <c r="M93" s="48"/>
      <c r="N93" s="48"/>
      <c r="O93" s="48"/>
      <c r="P93" s="48"/>
      <c r="Q93" s="48"/>
      <c r="R93" s="48"/>
      <c r="S93" s="48"/>
      <c r="T93" s="48"/>
      <c r="U93" s="48"/>
      <c r="V93" s="48"/>
      <c r="W93" s="48"/>
    </row>
    <row r="94" ht="32.9" customHeight="true" spans="1:23">
      <c r="A94" s="18"/>
      <c r="B94" s="18"/>
      <c r="C94" s="18" t="s">
        <v>619</v>
      </c>
      <c r="D94" s="18"/>
      <c r="E94" s="18"/>
      <c r="F94" s="18"/>
      <c r="G94" s="18"/>
      <c r="H94" s="18"/>
      <c r="I94" s="48">
        <v>10080000</v>
      </c>
      <c r="J94" s="48">
        <v>10080000</v>
      </c>
      <c r="K94" s="48">
        <v>10080000</v>
      </c>
      <c r="L94" s="48"/>
      <c r="M94" s="48"/>
      <c r="N94" s="48"/>
      <c r="O94" s="48"/>
      <c r="P94" s="48"/>
      <c r="Q94" s="48"/>
      <c r="R94" s="48"/>
      <c r="S94" s="48"/>
      <c r="T94" s="48"/>
      <c r="U94" s="48"/>
      <c r="V94" s="48"/>
      <c r="W94" s="48"/>
    </row>
    <row r="95" ht="32.9" customHeight="true" spans="1:23">
      <c r="A95" s="18" t="s">
        <v>538</v>
      </c>
      <c r="B95" s="155" t="s">
        <v>620</v>
      </c>
      <c r="C95" s="18" t="s">
        <v>619</v>
      </c>
      <c r="D95" s="18" t="s">
        <v>64</v>
      </c>
      <c r="E95" s="18" t="s">
        <v>167</v>
      </c>
      <c r="F95" s="18" t="s">
        <v>574</v>
      </c>
      <c r="G95" s="18" t="s">
        <v>546</v>
      </c>
      <c r="H95" s="18" t="s">
        <v>98</v>
      </c>
      <c r="I95" s="48">
        <v>10080000</v>
      </c>
      <c r="J95" s="48">
        <v>10080000</v>
      </c>
      <c r="K95" s="48">
        <v>10080000</v>
      </c>
      <c r="L95" s="48"/>
      <c r="M95" s="48"/>
      <c r="N95" s="48"/>
      <c r="O95" s="48"/>
      <c r="P95" s="48"/>
      <c r="Q95" s="48"/>
      <c r="R95" s="48"/>
      <c r="S95" s="48"/>
      <c r="T95" s="48"/>
      <c r="U95" s="48"/>
      <c r="V95" s="48"/>
      <c r="W95" s="48"/>
    </row>
    <row r="96" ht="32.9" customHeight="true" spans="1:23">
      <c r="A96" s="18"/>
      <c r="B96" s="18"/>
      <c r="C96" s="18" t="s">
        <v>621</v>
      </c>
      <c r="D96" s="18"/>
      <c r="E96" s="18"/>
      <c r="F96" s="18"/>
      <c r="G96" s="18"/>
      <c r="H96" s="18"/>
      <c r="I96" s="48">
        <v>6175</v>
      </c>
      <c r="J96" s="48"/>
      <c r="K96" s="48"/>
      <c r="L96" s="48"/>
      <c r="M96" s="48"/>
      <c r="N96" s="48">
        <v>6175</v>
      </c>
      <c r="O96" s="48"/>
      <c r="P96" s="48"/>
      <c r="Q96" s="48"/>
      <c r="R96" s="48"/>
      <c r="S96" s="48"/>
      <c r="T96" s="48"/>
      <c r="U96" s="48"/>
      <c r="V96" s="48"/>
      <c r="W96" s="48"/>
    </row>
    <row r="97" ht="32.9" customHeight="true" spans="1:23">
      <c r="A97" s="18" t="s">
        <v>559</v>
      </c>
      <c r="B97" s="155" t="s">
        <v>622</v>
      </c>
      <c r="C97" s="18" t="s">
        <v>621</v>
      </c>
      <c r="D97" s="18" t="s">
        <v>67</v>
      </c>
      <c r="E97" s="18" t="s">
        <v>154</v>
      </c>
      <c r="F97" s="18" t="s">
        <v>569</v>
      </c>
      <c r="G97" s="18" t="s">
        <v>341</v>
      </c>
      <c r="H97" s="18" t="s">
        <v>342</v>
      </c>
      <c r="I97" s="48">
        <v>3000</v>
      </c>
      <c r="J97" s="48"/>
      <c r="K97" s="48"/>
      <c r="L97" s="48"/>
      <c r="M97" s="48"/>
      <c r="N97" s="48">
        <v>3000</v>
      </c>
      <c r="O97" s="48"/>
      <c r="P97" s="48"/>
      <c r="Q97" s="48"/>
      <c r="R97" s="48"/>
      <c r="S97" s="48"/>
      <c r="T97" s="48"/>
      <c r="U97" s="48"/>
      <c r="V97" s="48"/>
      <c r="W97" s="48"/>
    </row>
    <row r="98" ht="32.9" customHeight="true" spans="1:23">
      <c r="A98" s="18" t="s">
        <v>559</v>
      </c>
      <c r="B98" s="155" t="s">
        <v>622</v>
      </c>
      <c r="C98" s="18" t="s">
        <v>621</v>
      </c>
      <c r="D98" s="18" t="s">
        <v>67</v>
      </c>
      <c r="E98" s="18" t="s">
        <v>154</v>
      </c>
      <c r="F98" s="18" t="s">
        <v>569</v>
      </c>
      <c r="G98" s="18" t="s">
        <v>316</v>
      </c>
      <c r="H98" s="18" t="s">
        <v>317</v>
      </c>
      <c r="I98" s="48">
        <v>3000</v>
      </c>
      <c r="J98" s="48"/>
      <c r="K98" s="48"/>
      <c r="L98" s="48"/>
      <c r="M98" s="48"/>
      <c r="N98" s="48">
        <v>3000</v>
      </c>
      <c r="O98" s="48"/>
      <c r="P98" s="48"/>
      <c r="Q98" s="48"/>
      <c r="R98" s="48"/>
      <c r="S98" s="48"/>
      <c r="T98" s="48"/>
      <c r="U98" s="48"/>
      <c r="V98" s="48"/>
      <c r="W98" s="48"/>
    </row>
    <row r="99" ht="32.9" customHeight="true" spans="1:23">
      <c r="A99" s="18" t="s">
        <v>559</v>
      </c>
      <c r="B99" s="155" t="s">
        <v>622</v>
      </c>
      <c r="C99" s="18" t="s">
        <v>621</v>
      </c>
      <c r="D99" s="18" t="s">
        <v>67</v>
      </c>
      <c r="E99" s="18" t="s">
        <v>154</v>
      </c>
      <c r="F99" s="18" t="s">
        <v>569</v>
      </c>
      <c r="G99" s="18" t="s">
        <v>283</v>
      </c>
      <c r="H99" s="18" t="s">
        <v>284</v>
      </c>
      <c r="I99" s="48">
        <v>175</v>
      </c>
      <c r="J99" s="48"/>
      <c r="K99" s="48"/>
      <c r="L99" s="48"/>
      <c r="M99" s="48"/>
      <c r="N99" s="48">
        <v>175</v>
      </c>
      <c r="O99" s="48"/>
      <c r="P99" s="48"/>
      <c r="Q99" s="48"/>
      <c r="R99" s="48"/>
      <c r="S99" s="48"/>
      <c r="T99" s="48"/>
      <c r="U99" s="48"/>
      <c r="V99" s="48"/>
      <c r="W99" s="48"/>
    </row>
    <row r="100" ht="32.9" customHeight="true" spans="1:23">
      <c r="A100" s="18"/>
      <c r="B100" s="18"/>
      <c r="C100" s="18" t="s">
        <v>623</v>
      </c>
      <c r="D100" s="18"/>
      <c r="E100" s="18"/>
      <c r="F100" s="18"/>
      <c r="G100" s="18"/>
      <c r="H100" s="18"/>
      <c r="I100" s="48">
        <v>436002</v>
      </c>
      <c r="J100" s="48"/>
      <c r="K100" s="48"/>
      <c r="L100" s="48"/>
      <c r="M100" s="48"/>
      <c r="N100" s="48">
        <v>436002</v>
      </c>
      <c r="O100" s="48"/>
      <c r="P100" s="48"/>
      <c r="Q100" s="48"/>
      <c r="R100" s="48"/>
      <c r="S100" s="48"/>
      <c r="T100" s="48"/>
      <c r="U100" s="48"/>
      <c r="V100" s="48"/>
      <c r="W100" s="48"/>
    </row>
    <row r="101" ht="32.9" customHeight="true" spans="1:23">
      <c r="A101" s="18" t="s">
        <v>567</v>
      </c>
      <c r="B101" s="155" t="s">
        <v>624</v>
      </c>
      <c r="C101" s="18" t="s">
        <v>623</v>
      </c>
      <c r="D101" s="18" t="s">
        <v>67</v>
      </c>
      <c r="E101" s="18" t="s">
        <v>142</v>
      </c>
      <c r="F101" s="18" t="s">
        <v>549</v>
      </c>
      <c r="G101" s="18" t="s">
        <v>277</v>
      </c>
      <c r="H101" s="18" t="s">
        <v>278</v>
      </c>
      <c r="I101" s="48">
        <v>40940</v>
      </c>
      <c r="J101" s="48"/>
      <c r="K101" s="48"/>
      <c r="L101" s="48"/>
      <c r="M101" s="48"/>
      <c r="N101" s="48">
        <v>40940</v>
      </c>
      <c r="O101" s="48"/>
      <c r="P101" s="48"/>
      <c r="Q101" s="48"/>
      <c r="R101" s="48"/>
      <c r="S101" s="48"/>
      <c r="T101" s="48"/>
      <c r="U101" s="48"/>
      <c r="V101" s="48"/>
      <c r="W101" s="48"/>
    </row>
    <row r="102" ht="32.9" customHeight="true" spans="1:23">
      <c r="A102" s="18" t="s">
        <v>567</v>
      </c>
      <c r="B102" s="155" t="s">
        <v>624</v>
      </c>
      <c r="C102" s="18" t="s">
        <v>623</v>
      </c>
      <c r="D102" s="18" t="s">
        <v>67</v>
      </c>
      <c r="E102" s="18" t="s">
        <v>142</v>
      </c>
      <c r="F102" s="18" t="s">
        <v>549</v>
      </c>
      <c r="G102" s="18" t="s">
        <v>281</v>
      </c>
      <c r="H102" s="18" t="s">
        <v>282</v>
      </c>
      <c r="I102" s="48">
        <v>12932</v>
      </c>
      <c r="J102" s="48"/>
      <c r="K102" s="48"/>
      <c r="L102" s="48"/>
      <c r="M102" s="48"/>
      <c r="N102" s="48">
        <v>12932</v>
      </c>
      <c r="O102" s="48"/>
      <c r="P102" s="48"/>
      <c r="Q102" s="48"/>
      <c r="R102" s="48"/>
      <c r="S102" s="48"/>
      <c r="T102" s="48"/>
      <c r="U102" s="48"/>
      <c r="V102" s="48"/>
      <c r="W102" s="48"/>
    </row>
    <row r="103" ht="32.9" customHeight="true" spans="1:23">
      <c r="A103" s="18" t="s">
        <v>567</v>
      </c>
      <c r="B103" s="155" t="s">
        <v>624</v>
      </c>
      <c r="C103" s="18" t="s">
        <v>623</v>
      </c>
      <c r="D103" s="18" t="s">
        <v>67</v>
      </c>
      <c r="E103" s="18" t="s">
        <v>142</v>
      </c>
      <c r="F103" s="18" t="s">
        <v>549</v>
      </c>
      <c r="G103" s="18" t="s">
        <v>625</v>
      </c>
      <c r="H103" s="18" t="s">
        <v>626</v>
      </c>
      <c r="I103" s="48">
        <v>382130</v>
      </c>
      <c r="J103" s="48"/>
      <c r="K103" s="48"/>
      <c r="L103" s="48"/>
      <c r="M103" s="48"/>
      <c r="N103" s="48">
        <v>382130</v>
      </c>
      <c r="O103" s="48"/>
      <c r="P103" s="48"/>
      <c r="Q103" s="48"/>
      <c r="R103" s="48"/>
      <c r="S103" s="48"/>
      <c r="T103" s="48"/>
      <c r="U103" s="48"/>
      <c r="V103" s="48"/>
      <c r="W103" s="48"/>
    </row>
    <row r="104" ht="32.9" customHeight="true" spans="1:23">
      <c r="A104" s="18"/>
      <c r="B104" s="18"/>
      <c r="C104" s="18" t="s">
        <v>627</v>
      </c>
      <c r="D104" s="18"/>
      <c r="E104" s="18"/>
      <c r="F104" s="18"/>
      <c r="G104" s="18"/>
      <c r="H104" s="18"/>
      <c r="I104" s="48">
        <v>313340.82</v>
      </c>
      <c r="J104" s="48"/>
      <c r="K104" s="48"/>
      <c r="L104" s="48"/>
      <c r="M104" s="48"/>
      <c r="N104" s="48">
        <v>313340.82</v>
      </c>
      <c r="O104" s="48"/>
      <c r="P104" s="48"/>
      <c r="Q104" s="48"/>
      <c r="R104" s="48"/>
      <c r="S104" s="48"/>
      <c r="T104" s="48"/>
      <c r="U104" s="48"/>
      <c r="V104" s="48"/>
      <c r="W104" s="48"/>
    </row>
    <row r="105" ht="32.9" customHeight="true" spans="1:23">
      <c r="A105" s="18" t="s">
        <v>567</v>
      </c>
      <c r="B105" s="155" t="s">
        <v>628</v>
      </c>
      <c r="C105" s="18" t="s">
        <v>627</v>
      </c>
      <c r="D105" s="18" t="s">
        <v>67</v>
      </c>
      <c r="E105" s="18" t="s">
        <v>142</v>
      </c>
      <c r="F105" s="18" t="s">
        <v>549</v>
      </c>
      <c r="G105" s="18" t="s">
        <v>341</v>
      </c>
      <c r="H105" s="18" t="s">
        <v>342</v>
      </c>
      <c r="I105" s="48">
        <v>5009.2</v>
      </c>
      <c r="J105" s="48"/>
      <c r="K105" s="48"/>
      <c r="L105" s="48"/>
      <c r="M105" s="48"/>
      <c r="N105" s="48">
        <v>5009.2</v>
      </c>
      <c r="O105" s="48"/>
      <c r="P105" s="48"/>
      <c r="Q105" s="48"/>
      <c r="R105" s="48"/>
      <c r="S105" s="48"/>
      <c r="T105" s="48"/>
      <c r="U105" s="48"/>
      <c r="V105" s="48"/>
      <c r="W105" s="48"/>
    </row>
    <row r="106" ht="32.9" customHeight="true" spans="1:23">
      <c r="A106" s="18" t="s">
        <v>567</v>
      </c>
      <c r="B106" s="155" t="s">
        <v>628</v>
      </c>
      <c r="C106" s="18" t="s">
        <v>627</v>
      </c>
      <c r="D106" s="18" t="s">
        <v>67</v>
      </c>
      <c r="E106" s="18" t="s">
        <v>142</v>
      </c>
      <c r="F106" s="18" t="s">
        <v>549</v>
      </c>
      <c r="G106" s="18" t="s">
        <v>277</v>
      </c>
      <c r="H106" s="18" t="s">
        <v>278</v>
      </c>
      <c r="I106" s="48">
        <v>130705.25</v>
      </c>
      <c r="J106" s="48"/>
      <c r="K106" s="48"/>
      <c r="L106" s="48"/>
      <c r="M106" s="48"/>
      <c r="N106" s="48">
        <v>130705.25</v>
      </c>
      <c r="O106" s="48"/>
      <c r="P106" s="48"/>
      <c r="Q106" s="48"/>
      <c r="R106" s="48"/>
      <c r="S106" s="48"/>
      <c r="T106" s="48"/>
      <c r="U106" s="48"/>
      <c r="V106" s="48"/>
      <c r="W106" s="48"/>
    </row>
    <row r="107" ht="32.9" customHeight="true" spans="1:23">
      <c r="A107" s="18" t="s">
        <v>567</v>
      </c>
      <c r="B107" s="155" t="s">
        <v>628</v>
      </c>
      <c r="C107" s="18" t="s">
        <v>627</v>
      </c>
      <c r="D107" s="18" t="s">
        <v>67</v>
      </c>
      <c r="E107" s="18" t="s">
        <v>142</v>
      </c>
      <c r="F107" s="18" t="s">
        <v>549</v>
      </c>
      <c r="G107" s="18" t="s">
        <v>314</v>
      </c>
      <c r="H107" s="18" t="s">
        <v>315</v>
      </c>
      <c r="I107" s="48">
        <v>5830</v>
      </c>
      <c r="J107" s="48"/>
      <c r="K107" s="48"/>
      <c r="L107" s="48"/>
      <c r="M107" s="48"/>
      <c r="N107" s="48">
        <v>5830</v>
      </c>
      <c r="O107" s="48"/>
      <c r="P107" s="48"/>
      <c r="Q107" s="48"/>
      <c r="R107" s="48"/>
      <c r="S107" s="48"/>
      <c r="T107" s="48"/>
      <c r="U107" s="48"/>
      <c r="V107" s="48"/>
      <c r="W107" s="48"/>
    </row>
    <row r="108" ht="32.9" customHeight="true" spans="1:23">
      <c r="A108" s="18" t="s">
        <v>567</v>
      </c>
      <c r="B108" s="155" t="s">
        <v>628</v>
      </c>
      <c r="C108" s="18" t="s">
        <v>627</v>
      </c>
      <c r="D108" s="18" t="s">
        <v>67</v>
      </c>
      <c r="E108" s="18" t="s">
        <v>142</v>
      </c>
      <c r="F108" s="18" t="s">
        <v>549</v>
      </c>
      <c r="G108" s="18" t="s">
        <v>281</v>
      </c>
      <c r="H108" s="18" t="s">
        <v>282</v>
      </c>
      <c r="I108" s="48">
        <v>66497.28</v>
      </c>
      <c r="J108" s="48"/>
      <c r="K108" s="48"/>
      <c r="L108" s="48"/>
      <c r="M108" s="48"/>
      <c r="N108" s="48">
        <v>66497.28</v>
      </c>
      <c r="O108" s="48"/>
      <c r="P108" s="48"/>
      <c r="Q108" s="48"/>
      <c r="R108" s="48"/>
      <c r="S108" s="48"/>
      <c r="T108" s="48"/>
      <c r="U108" s="48"/>
      <c r="V108" s="48"/>
      <c r="W108" s="48"/>
    </row>
    <row r="109" ht="32.9" customHeight="true" spans="1:23">
      <c r="A109" s="18" t="s">
        <v>567</v>
      </c>
      <c r="B109" s="155" t="s">
        <v>628</v>
      </c>
      <c r="C109" s="18" t="s">
        <v>627</v>
      </c>
      <c r="D109" s="18" t="s">
        <v>67</v>
      </c>
      <c r="E109" s="18" t="s">
        <v>142</v>
      </c>
      <c r="F109" s="18" t="s">
        <v>549</v>
      </c>
      <c r="G109" s="18" t="s">
        <v>625</v>
      </c>
      <c r="H109" s="18" t="s">
        <v>626</v>
      </c>
      <c r="I109" s="48">
        <v>3947.09</v>
      </c>
      <c r="J109" s="48"/>
      <c r="K109" s="48"/>
      <c r="L109" s="48"/>
      <c r="M109" s="48"/>
      <c r="N109" s="48">
        <v>3947.09</v>
      </c>
      <c r="O109" s="48"/>
      <c r="P109" s="48"/>
      <c r="Q109" s="48"/>
      <c r="R109" s="48"/>
      <c r="S109" s="48"/>
      <c r="T109" s="48"/>
      <c r="U109" s="48"/>
      <c r="V109" s="48"/>
      <c r="W109" s="48"/>
    </row>
    <row r="110" ht="32.9" customHeight="true" spans="1:23">
      <c r="A110" s="18" t="s">
        <v>567</v>
      </c>
      <c r="B110" s="155" t="s">
        <v>628</v>
      </c>
      <c r="C110" s="18" t="s">
        <v>627</v>
      </c>
      <c r="D110" s="18" t="s">
        <v>67</v>
      </c>
      <c r="E110" s="18" t="s">
        <v>142</v>
      </c>
      <c r="F110" s="18" t="s">
        <v>549</v>
      </c>
      <c r="G110" s="18" t="s">
        <v>283</v>
      </c>
      <c r="H110" s="18" t="s">
        <v>284</v>
      </c>
      <c r="I110" s="48">
        <v>12600</v>
      </c>
      <c r="J110" s="48"/>
      <c r="K110" s="48"/>
      <c r="L110" s="48"/>
      <c r="M110" s="48"/>
      <c r="N110" s="48">
        <v>12600</v>
      </c>
      <c r="O110" s="48"/>
      <c r="P110" s="48"/>
      <c r="Q110" s="48"/>
      <c r="R110" s="48"/>
      <c r="S110" s="48"/>
      <c r="T110" s="48"/>
      <c r="U110" s="48"/>
      <c r="V110" s="48"/>
      <c r="W110" s="48"/>
    </row>
    <row r="111" ht="32.9" customHeight="true" spans="1:23">
      <c r="A111" s="18" t="s">
        <v>567</v>
      </c>
      <c r="B111" s="155" t="s">
        <v>628</v>
      </c>
      <c r="C111" s="18" t="s">
        <v>627</v>
      </c>
      <c r="D111" s="18" t="s">
        <v>67</v>
      </c>
      <c r="E111" s="18" t="s">
        <v>142</v>
      </c>
      <c r="F111" s="18" t="s">
        <v>549</v>
      </c>
      <c r="G111" s="18" t="s">
        <v>287</v>
      </c>
      <c r="H111" s="18" t="s">
        <v>288</v>
      </c>
      <c r="I111" s="48">
        <v>500</v>
      </c>
      <c r="J111" s="48"/>
      <c r="K111" s="48"/>
      <c r="L111" s="48"/>
      <c r="M111" s="48"/>
      <c r="N111" s="48">
        <v>500</v>
      </c>
      <c r="O111" s="48"/>
      <c r="P111" s="48"/>
      <c r="Q111" s="48"/>
      <c r="R111" s="48"/>
      <c r="S111" s="48"/>
      <c r="T111" s="48"/>
      <c r="U111" s="48"/>
      <c r="V111" s="48"/>
      <c r="W111" s="48"/>
    </row>
    <row r="112" ht="32.9" customHeight="true" spans="1:23">
      <c r="A112" s="18" t="s">
        <v>567</v>
      </c>
      <c r="B112" s="155" t="s">
        <v>628</v>
      </c>
      <c r="C112" s="18" t="s">
        <v>627</v>
      </c>
      <c r="D112" s="18" t="s">
        <v>67</v>
      </c>
      <c r="E112" s="18" t="s">
        <v>142</v>
      </c>
      <c r="F112" s="18" t="s">
        <v>549</v>
      </c>
      <c r="G112" s="18" t="s">
        <v>629</v>
      </c>
      <c r="H112" s="18" t="s">
        <v>630</v>
      </c>
      <c r="I112" s="48">
        <v>67252</v>
      </c>
      <c r="J112" s="48"/>
      <c r="K112" s="48"/>
      <c r="L112" s="48"/>
      <c r="M112" s="48"/>
      <c r="N112" s="48">
        <v>67252</v>
      </c>
      <c r="O112" s="48"/>
      <c r="P112" s="48"/>
      <c r="Q112" s="48"/>
      <c r="R112" s="48"/>
      <c r="S112" s="48"/>
      <c r="T112" s="48"/>
      <c r="U112" s="48"/>
      <c r="V112" s="48"/>
      <c r="W112" s="48"/>
    </row>
    <row r="113" ht="32.9" customHeight="true" spans="1:23">
      <c r="A113" s="18" t="s">
        <v>567</v>
      </c>
      <c r="B113" s="155" t="s">
        <v>628</v>
      </c>
      <c r="C113" s="18" t="s">
        <v>627</v>
      </c>
      <c r="D113" s="18" t="s">
        <v>67</v>
      </c>
      <c r="E113" s="18" t="s">
        <v>142</v>
      </c>
      <c r="F113" s="18" t="s">
        <v>549</v>
      </c>
      <c r="G113" s="18" t="s">
        <v>631</v>
      </c>
      <c r="H113" s="18" t="s">
        <v>632</v>
      </c>
      <c r="I113" s="48">
        <v>21000</v>
      </c>
      <c r="J113" s="48"/>
      <c r="K113" s="48"/>
      <c r="L113" s="48"/>
      <c r="M113" s="48"/>
      <c r="N113" s="48">
        <v>21000</v>
      </c>
      <c r="O113" s="48"/>
      <c r="P113" s="48"/>
      <c r="Q113" s="48"/>
      <c r="R113" s="48"/>
      <c r="S113" s="48"/>
      <c r="T113" s="48"/>
      <c r="U113" s="48"/>
      <c r="V113" s="48"/>
      <c r="W113" s="48"/>
    </row>
    <row r="114" ht="32.9" customHeight="true" spans="1:23">
      <c r="A114" s="18"/>
      <c r="B114" s="18"/>
      <c r="C114" s="18" t="s">
        <v>633</v>
      </c>
      <c r="D114" s="18"/>
      <c r="E114" s="18"/>
      <c r="F114" s="18"/>
      <c r="G114" s="18"/>
      <c r="H114" s="18"/>
      <c r="I114" s="48">
        <v>1738129.43</v>
      </c>
      <c r="J114" s="48"/>
      <c r="K114" s="48"/>
      <c r="L114" s="48"/>
      <c r="M114" s="48"/>
      <c r="N114" s="48">
        <v>1738129.43</v>
      </c>
      <c r="O114" s="48"/>
      <c r="P114" s="48"/>
      <c r="Q114" s="48"/>
      <c r="R114" s="48"/>
      <c r="S114" s="48"/>
      <c r="T114" s="48"/>
      <c r="U114" s="48"/>
      <c r="V114" s="48"/>
      <c r="W114" s="48"/>
    </row>
    <row r="115" ht="32.9" customHeight="true" spans="1:23">
      <c r="A115" s="18" t="s">
        <v>567</v>
      </c>
      <c r="B115" s="155" t="s">
        <v>634</v>
      </c>
      <c r="C115" s="18" t="s">
        <v>633</v>
      </c>
      <c r="D115" s="18" t="s">
        <v>67</v>
      </c>
      <c r="E115" s="18" t="s">
        <v>142</v>
      </c>
      <c r="F115" s="18" t="s">
        <v>549</v>
      </c>
      <c r="G115" s="18" t="s">
        <v>277</v>
      </c>
      <c r="H115" s="18" t="s">
        <v>278</v>
      </c>
      <c r="I115" s="48">
        <v>27225.5</v>
      </c>
      <c r="J115" s="48"/>
      <c r="K115" s="48"/>
      <c r="L115" s="48"/>
      <c r="M115" s="48"/>
      <c r="N115" s="48">
        <v>27225.5</v>
      </c>
      <c r="O115" s="48"/>
      <c r="P115" s="48"/>
      <c r="Q115" s="48"/>
      <c r="R115" s="48"/>
      <c r="S115" s="48"/>
      <c r="T115" s="48"/>
      <c r="U115" s="48"/>
      <c r="V115" s="48"/>
      <c r="W115" s="48"/>
    </row>
    <row r="116" ht="32.9" customHeight="true" spans="1:23">
      <c r="A116" s="18" t="s">
        <v>567</v>
      </c>
      <c r="B116" s="155" t="s">
        <v>634</v>
      </c>
      <c r="C116" s="18" t="s">
        <v>633</v>
      </c>
      <c r="D116" s="18" t="s">
        <v>67</v>
      </c>
      <c r="E116" s="18" t="s">
        <v>142</v>
      </c>
      <c r="F116" s="18" t="s">
        <v>549</v>
      </c>
      <c r="G116" s="18" t="s">
        <v>625</v>
      </c>
      <c r="H116" s="18" t="s">
        <v>626</v>
      </c>
      <c r="I116" s="48">
        <v>1327503.93</v>
      </c>
      <c r="J116" s="48"/>
      <c r="K116" s="48"/>
      <c r="L116" s="48"/>
      <c r="M116" s="48"/>
      <c r="N116" s="48">
        <v>1327503.93</v>
      </c>
      <c r="O116" s="48"/>
      <c r="P116" s="48"/>
      <c r="Q116" s="48"/>
      <c r="R116" s="48"/>
      <c r="S116" s="48"/>
      <c r="T116" s="48"/>
      <c r="U116" s="48"/>
      <c r="V116" s="48"/>
      <c r="W116" s="48"/>
    </row>
    <row r="117" ht="32.9" customHeight="true" spans="1:23">
      <c r="A117" s="18" t="s">
        <v>567</v>
      </c>
      <c r="B117" s="155" t="s">
        <v>634</v>
      </c>
      <c r="C117" s="18" t="s">
        <v>633</v>
      </c>
      <c r="D117" s="18" t="s">
        <v>67</v>
      </c>
      <c r="E117" s="18" t="s">
        <v>142</v>
      </c>
      <c r="F117" s="18" t="s">
        <v>549</v>
      </c>
      <c r="G117" s="18" t="s">
        <v>283</v>
      </c>
      <c r="H117" s="18" t="s">
        <v>284</v>
      </c>
      <c r="I117" s="48">
        <v>5000</v>
      </c>
      <c r="J117" s="48"/>
      <c r="K117" s="48"/>
      <c r="L117" s="48"/>
      <c r="M117" s="48"/>
      <c r="N117" s="48">
        <v>5000</v>
      </c>
      <c r="O117" s="48"/>
      <c r="P117" s="48"/>
      <c r="Q117" s="48"/>
      <c r="R117" s="48"/>
      <c r="S117" s="48"/>
      <c r="T117" s="48"/>
      <c r="U117" s="48"/>
      <c r="V117" s="48"/>
      <c r="W117" s="48"/>
    </row>
    <row r="118" ht="32.9" customHeight="true" spans="1:23">
      <c r="A118" s="18" t="s">
        <v>567</v>
      </c>
      <c r="B118" s="155" t="s">
        <v>634</v>
      </c>
      <c r="C118" s="18" t="s">
        <v>633</v>
      </c>
      <c r="D118" s="18" t="s">
        <v>67</v>
      </c>
      <c r="E118" s="18" t="s">
        <v>142</v>
      </c>
      <c r="F118" s="18" t="s">
        <v>549</v>
      </c>
      <c r="G118" s="18" t="s">
        <v>273</v>
      </c>
      <c r="H118" s="18" t="s">
        <v>274</v>
      </c>
      <c r="I118" s="48">
        <v>28000</v>
      </c>
      <c r="J118" s="48"/>
      <c r="K118" s="48"/>
      <c r="L118" s="48"/>
      <c r="M118" s="48"/>
      <c r="N118" s="48">
        <v>28000</v>
      </c>
      <c r="O118" s="48"/>
      <c r="P118" s="48"/>
      <c r="Q118" s="48"/>
      <c r="R118" s="48"/>
      <c r="S118" s="48"/>
      <c r="T118" s="48"/>
      <c r="U118" s="48"/>
      <c r="V118" s="48"/>
      <c r="W118" s="48"/>
    </row>
    <row r="119" ht="32.9" customHeight="true" spans="1:23">
      <c r="A119" s="18" t="s">
        <v>567</v>
      </c>
      <c r="B119" s="155" t="s">
        <v>634</v>
      </c>
      <c r="C119" s="18" t="s">
        <v>633</v>
      </c>
      <c r="D119" s="18" t="s">
        <v>67</v>
      </c>
      <c r="E119" s="18" t="s">
        <v>142</v>
      </c>
      <c r="F119" s="18" t="s">
        <v>549</v>
      </c>
      <c r="G119" s="18" t="s">
        <v>629</v>
      </c>
      <c r="H119" s="18" t="s">
        <v>630</v>
      </c>
      <c r="I119" s="48">
        <v>350400</v>
      </c>
      <c r="J119" s="48"/>
      <c r="K119" s="48"/>
      <c r="L119" s="48"/>
      <c r="M119" s="48"/>
      <c r="N119" s="48">
        <v>350400</v>
      </c>
      <c r="O119" s="48"/>
      <c r="P119" s="48"/>
      <c r="Q119" s="48"/>
      <c r="R119" s="48"/>
      <c r="S119" s="48"/>
      <c r="T119" s="48"/>
      <c r="U119" s="48"/>
      <c r="V119" s="48"/>
      <c r="W119" s="48"/>
    </row>
    <row r="120" ht="32.9" customHeight="true" spans="1:23">
      <c r="A120" s="18"/>
      <c r="B120" s="18"/>
      <c r="C120" s="18" t="s">
        <v>635</v>
      </c>
      <c r="D120" s="18"/>
      <c r="E120" s="18"/>
      <c r="F120" s="18"/>
      <c r="G120" s="18"/>
      <c r="H120" s="18"/>
      <c r="I120" s="48">
        <v>100020</v>
      </c>
      <c r="J120" s="48"/>
      <c r="K120" s="48"/>
      <c r="L120" s="48"/>
      <c r="M120" s="48"/>
      <c r="N120" s="48">
        <v>100020</v>
      </c>
      <c r="O120" s="48"/>
      <c r="P120" s="48"/>
      <c r="Q120" s="48"/>
      <c r="R120" s="48"/>
      <c r="S120" s="48"/>
      <c r="T120" s="48"/>
      <c r="U120" s="48"/>
      <c r="V120" s="48"/>
      <c r="W120" s="48"/>
    </row>
    <row r="121" ht="32.9" customHeight="true" spans="1:23">
      <c r="A121" s="18" t="s">
        <v>567</v>
      </c>
      <c r="B121" s="155" t="s">
        <v>636</v>
      </c>
      <c r="C121" s="18" t="s">
        <v>635</v>
      </c>
      <c r="D121" s="18" t="s">
        <v>67</v>
      </c>
      <c r="E121" s="18" t="s">
        <v>154</v>
      </c>
      <c r="F121" s="18" t="s">
        <v>569</v>
      </c>
      <c r="G121" s="18" t="s">
        <v>629</v>
      </c>
      <c r="H121" s="18" t="s">
        <v>630</v>
      </c>
      <c r="I121" s="48">
        <v>100020</v>
      </c>
      <c r="J121" s="48"/>
      <c r="K121" s="48"/>
      <c r="L121" s="48"/>
      <c r="M121" s="48"/>
      <c r="N121" s="48">
        <v>100020</v>
      </c>
      <c r="O121" s="48"/>
      <c r="P121" s="48"/>
      <c r="Q121" s="48"/>
      <c r="R121" s="48"/>
      <c r="S121" s="48"/>
      <c r="T121" s="48"/>
      <c r="U121" s="48"/>
      <c r="V121" s="48"/>
      <c r="W121" s="48"/>
    </row>
    <row r="122" ht="32.9" customHeight="true" spans="1:23">
      <c r="A122" s="18"/>
      <c r="B122" s="18"/>
      <c r="C122" s="18" t="s">
        <v>637</v>
      </c>
      <c r="D122" s="18"/>
      <c r="E122" s="18"/>
      <c r="F122" s="18"/>
      <c r="G122" s="18"/>
      <c r="H122" s="18"/>
      <c r="I122" s="48">
        <v>7338956.63</v>
      </c>
      <c r="J122" s="48"/>
      <c r="K122" s="48"/>
      <c r="L122" s="48"/>
      <c r="M122" s="48"/>
      <c r="N122" s="48">
        <v>7338956.63</v>
      </c>
      <c r="O122" s="48"/>
      <c r="P122" s="48"/>
      <c r="Q122" s="48"/>
      <c r="R122" s="48"/>
      <c r="S122" s="48"/>
      <c r="T122" s="48"/>
      <c r="U122" s="48"/>
      <c r="V122" s="48"/>
      <c r="W122" s="48"/>
    </row>
    <row r="123" ht="32.9" customHeight="true" spans="1:23">
      <c r="A123" s="18" t="s">
        <v>567</v>
      </c>
      <c r="B123" s="155" t="s">
        <v>638</v>
      </c>
      <c r="C123" s="18" t="s">
        <v>637</v>
      </c>
      <c r="D123" s="18" t="s">
        <v>67</v>
      </c>
      <c r="E123" s="18" t="s">
        <v>142</v>
      </c>
      <c r="F123" s="18" t="s">
        <v>549</v>
      </c>
      <c r="G123" s="18" t="s">
        <v>341</v>
      </c>
      <c r="H123" s="18" t="s">
        <v>342</v>
      </c>
      <c r="I123" s="48">
        <v>4000</v>
      </c>
      <c r="J123" s="48"/>
      <c r="K123" s="48"/>
      <c r="L123" s="48"/>
      <c r="M123" s="48"/>
      <c r="N123" s="48">
        <v>4000</v>
      </c>
      <c r="O123" s="48"/>
      <c r="P123" s="48"/>
      <c r="Q123" s="48"/>
      <c r="R123" s="48"/>
      <c r="S123" s="48"/>
      <c r="T123" s="48"/>
      <c r="U123" s="48"/>
      <c r="V123" s="48"/>
      <c r="W123" s="48"/>
    </row>
    <row r="124" ht="32.9" customHeight="true" spans="1:23">
      <c r="A124" s="18" t="s">
        <v>567</v>
      </c>
      <c r="B124" s="155" t="s">
        <v>638</v>
      </c>
      <c r="C124" s="18" t="s">
        <v>637</v>
      </c>
      <c r="D124" s="18" t="s">
        <v>67</v>
      </c>
      <c r="E124" s="18" t="s">
        <v>142</v>
      </c>
      <c r="F124" s="18" t="s">
        <v>549</v>
      </c>
      <c r="G124" s="18" t="s">
        <v>312</v>
      </c>
      <c r="H124" s="18" t="s">
        <v>313</v>
      </c>
      <c r="I124" s="48">
        <v>2289</v>
      </c>
      <c r="J124" s="48"/>
      <c r="K124" s="48"/>
      <c r="L124" s="48"/>
      <c r="M124" s="48"/>
      <c r="N124" s="48">
        <v>2289</v>
      </c>
      <c r="O124" s="48"/>
      <c r="P124" s="48"/>
      <c r="Q124" s="48"/>
      <c r="R124" s="48"/>
      <c r="S124" s="48"/>
      <c r="T124" s="48"/>
      <c r="U124" s="48"/>
      <c r="V124" s="48"/>
      <c r="W124" s="48"/>
    </row>
    <row r="125" ht="32.9" customHeight="true" spans="1:23">
      <c r="A125" s="18" t="s">
        <v>567</v>
      </c>
      <c r="B125" s="155" t="s">
        <v>638</v>
      </c>
      <c r="C125" s="18" t="s">
        <v>637</v>
      </c>
      <c r="D125" s="18" t="s">
        <v>67</v>
      </c>
      <c r="E125" s="18" t="s">
        <v>142</v>
      </c>
      <c r="F125" s="18" t="s">
        <v>549</v>
      </c>
      <c r="G125" s="18" t="s">
        <v>277</v>
      </c>
      <c r="H125" s="18" t="s">
        <v>278</v>
      </c>
      <c r="I125" s="48">
        <v>238136</v>
      </c>
      <c r="J125" s="48"/>
      <c r="K125" s="48"/>
      <c r="L125" s="48"/>
      <c r="M125" s="48"/>
      <c r="N125" s="48">
        <v>238136</v>
      </c>
      <c r="O125" s="48"/>
      <c r="P125" s="48"/>
      <c r="Q125" s="48"/>
      <c r="R125" s="48"/>
      <c r="S125" s="48"/>
      <c r="T125" s="48"/>
      <c r="U125" s="48"/>
      <c r="V125" s="48"/>
      <c r="W125" s="48"/>
    </row>
    <row r="126" ht="32.9" customHeight="true" spans="1:23">
      <c r="A126" s="18" t="s">
        <v>567</v>
      </c>
      <c r="B126" s="155" t="s">
        <v>638</v>
      </c>
      <c r="C126" s="18" t="s">
        <v>637</v>
      </c>
      <c r="D126" s="18" t="s">
        <v>67</v>
      </c>
      <c r="E126" s="18" t="s">
        <v>142</v>
      </c>
      <c r="F126" s="18" t="s">
        <v>549</v>
      </c>
      <c r="G126" s="18" t="s">
        <v>314</v>
      </c>
      <c r="H126" s="18" t="s">
        <v>315</v>
      </c>
      <c r="I126" s="48">
        <v>120936.43</v>
      </c>
      <c r="J126" s="48"/>
      <c r="K126" s="48"/>
      <c r="L126" s="48"/>
      <c r="M126" s="48"/>
      <c r="N126" s="48">
        <v>120936.43</v>
      </c>
      <c r="O126" s="48"/>
      <c r="P126" s="48"/>
      <c r="Q126" s="48"/>
      <c r="R126" s="48"/>
      <c r="S126" s="48"/>
      <c r="T126" s="48"/>
      <c r="U126" s="48"/>
      <c r="V126" s="48"/>
      <c r="W126" s="48"/>
    </row>
    <row r="127" ht="32.9" customHeight="true" spans="1:23">
      <c r="A127" s="18" t="s">
        <v>567</v>
      </c>
      <c r="B127" s="155" t="s">
        <v>638</v>
      </c>
      <c r="C127" s="18" t="s">
        <v>637</v>
      </c>
      <c r="D127" s="18" t="s">
        <v>67</v>
      </c>
      <c r="E127" s="18" t="s">
        <v>142</v>
      </c>
      <c r="F127" s="18" t="s">
        <v>549</v>
      </c>
      <c r="G127" s="18" t="s">
        <v>281</v>
      </c>
      <c r="H127" s="18" t="s">
        <v>282</v>
      </c>
      <c r="I127" s="48">
        <v>153056.29</v>
      </c>
      <c r="J127" s="48"/>
      <c r="K127" s="48"/>
      <c r="L127" s="48"/>
      <c r="M127" s="48"/>
      <c r="N127" s="48">
        <v>153056.29</v>
      </c>
      <c r="O127" s="48"/>
      <c r="P127" s="48"/>
      <c r="Q127" s="48"/>
      <c r="R127" s="48"/>
      <c r="S127" s="48"/>
      <c r="T127" s="48"/>
      <c r="U127" s="48"/>
      <c r="V127" s="48"/>
      <c r="W127" s="48"/>
    </row>
    <row r="128" ht="32.9" customHeight="true" spans="1:23">
      <c r="A128" s="18" t="s">
        <v>567</v>
      </c>
      <c r="B128" s="155" t="s">
        <v>638</v>
      </c>
      <c r="C128" s="18" t="s">
        <v>637</v>
      </c>
      <c r="D128" s="18" t="s">
        <v>67</v>
      </c>
      <c r="E128" s="18" t="s">
        <v>142</v>
      </c>
      <c r="F128" s="18" t="s">
        <v>549</v>
      </c>
      <c r="G128" s="18" t="s">
        <v>625</v>
      </c>
      <c r="H128" s="18" t="s">
        <v>626</v>
      </c>
      <c r="I128" s="48">
        <v>6038788.91</v>
      </c>
      <c r="J128" s="48"/>
      <c r="K128" s="48"/>
      <c r="L128" s="48"/>
      <c r="M128" s="48"/>
      <c r="N128" s="48">
        <v>6038788.91</v>
      </c>
      <c r="O128" s="48"/>
      <c r="P128" s="48"/>
      <c r="Q128" s="48"/>
      <c r="R128" s="48"/>
      <c r="S128" s="48"/>
      <c r="T128" s="48"/>
      <c r="U128" s="48"/>
      <c r="V128" s="48"/>
      <c r="W128" s="48"/>
    </row>
    <row r="129" ht="32.9" customHeight="true" spans="1:23">
      <c r="A129" s="18" t="s">
        <v>567</v>
      </c>
      <c r="B129" s="155" t="s">
        <v>638</v>
      </c>
      <c r="C129" s="18" t="s">
        <v>637</v>
      </c>
      <c r="D129" s="18" t="s">
        <v>67</v>
      </c>
      <c r="E129" s="18" t="s">
        <v>142</v>
      </c>
      <c r="F129" s="18" t="s">
        <v>549</v>
      </c>
      <c r="G129" s="18" t="s">
        <v>316</v>
      </c>
      <c r="H129" s="18" t="s">
        <v>317</v>
      </c>
      <c r="I129" s="48">
        <v>33200</v>
      </c>
      <c r="J129" s="48"/>
      <c r="K129" s="48"/>
      <c r="L129" s="48"/>
      <c r="M129" s="48"/>
      <c r="N129" s="48">
        <v>33200</v>
      </c>
      <c r="O129" s="48"/>
      <c r="P129" s="48"/>
      <c r="Q129" s="48"/>
      <c r="R129" s="48"/>
      <c r="S129" s="48"/>
      <c r="T129" s="48"/>
      <c r="U129" s="48"/>
      <c r="V129" s="48"/>
      <c r="W129" s="48"/>
    </row>
    <row r="130" ht="32.9" customHeight="true" spans="1:23">
      <c r="A130" s="18" t="s">
        <v>567</v>
      </c>
      <c r="B130" s="155" t="s">
        <v>638</v>
      </c>
      <c r="C130" s="18" t="s">
        <v>637</v>
      </c>
      <c r="D130" s="18" t="s">
        <v>67</v>
      </c>
      <c r="E130" s="18" t="s">
        <v>142</v>
      </c>
      <c r="F130" s="18" t="s">
        <v>549</v>
      </c>
      <c r="G130" s="18" t="s">
        <v>283</v>
      </c>
      <c r="H130" s="18" t="s">
        <v>284</v>
      </c>
      <c r="I130" s="48">
        <v>8000</v>
      </c>
      <c r="J130" s="48"/>
      <c r="K130" s="48"/>
      <c r="L130" s="48"/>
      <c r="M130" s="48"/>
      <c r="N130" s="48">
        <v>8000</v>
      </c>
      <c r="O130" s="48"/>
      <c r="P130" s="48"/>
      <c r="Q130" s="48"/>
      <c r="R130" s="48"/>
      <c r="S130" s="48"/>
      <c r="T130" s="48"/>
      <c r="U130" s="48"/>
      <c r="V130" s="48"/>
      <c r="W130" s="48"/>
    </row>
    <row r="131" ht="32.9" customHeight="true" spans="1:23">
      <c r="A131" s="18" t="s">
        <v>567</v>
      </c>
      <c r="B131" s="155" t="s">
        <v>638</v>
      </c>
      <c r="C131" s="18" t="s">
        <v>637</v>
      </c>
      <c r="D131" s="18" t="s">
        <v>67</v>
      </c>
      <c r="E131" s="18" t="s">
        <v>142</v>
      </c>
      <c r="F131" s="18" t="s">
        <v>549</v>
      </c>
      <c r="G131" s="18" t="s">
        <v>273</v>
      </c>
      <c r="H131" s="18" t="s">
        <v>274</v>
      </c>
      <c r="I131" s="48">
        <v>141590</v>
      </c>
      <c r="J131" s="48"/>
      <c r="K131" s="48"/>
      <c r="L131" s="48"/>
      <c r="M131" s="48"/>
      <c r="N131" s="48">
        <v>141590</v>
      </c>
      <c r="O131" s="48"/>
      <c r="P131" s="48"/>
      <c r="Q131" s="48"/>
      <c r="R131" s="48"/>
      <c r="S131" s="48"/>
      <c r="T131" s="48"/>
      <c r="U131" s="48"/>
      <c r="V131" s="48"/>
      <c r="W131" s="48"/>
    </row>
    <row r="132" ht="32.9" customHeight="true" spans="1:23">
      <c r="A132" s="18" t="s">
        <v>567</v>
      </c>
      <c r="B132" s="155" t="s">
        <v>638</v>
      </c>
      <c r="C132" s="18" t="s">
        <v>637</v>
      </c>
      <c r="D132" s="18" t="s">
        <v>67</v>
      </c>
      <c r="E132" s="18" t="s">
        <v>142</v>
      </c>
      <c r="F132" s="18" t="s">
        <v>549</v>
      </c>
      <c r="G132" s="18" t="s">
        <v>287</v>
      </c>
      <c r="H132" s="18" t="s">
        <v>288</v>
      </c>
      <c r="I132" s="48">
        <v>30000</v>
      </c>
      <c r="J132" s="48"/>
      <c r="K132" s="48"/>
      <c r="L132" s="48"/>
      <c r="M132" s="48"/>
      <c r="N132" s="48">
        <v>30000</v>
      </c>
      <c r="O132" s="48"/>
      <c r="P132" s="48"/>
      <c r="Q132" s="48"/>
      <c r="R132" s="48"/>
      <c r="S132" s="48"/>
      <c r="T132" s="48"/>
      <c r="U132" s="48"/>
      <c r="V132" s="48"/>
      <c r="W132" s="48"/>
    </row>
    <row r="133" ht="32.9" customHeight="true" spans="1:23">
      <c r="A133" s="18" t="s">
        <v>567</v>
      </c>
      <c r="B133" s="155" t="s">
        <v>638</v>
      </c>
      <c r="C133" s="18" t="s">
        <v>637</v>
      </c>
      <c r="D133" s="18" t="s">
        <v>67</v>
      </c>
      <c r="E133" s="18" t="s">
        <v>142</v>
      </c>
      <c r="F133" s="18" t="s">
        <v>549</v>
      </c>
      <c r="G133" s="18" t="s">
        <v>629</v>
      </c>
      <c r="H133" s="18" t="s">
        <v>630</v>
      </c>
      <c r="I133" s="48">
        <v>568960</v>
      </c>
      <c r="J133" s="48"/>
      <c r="K133" s="48"/>
      <c r="L133" s="48"/>
      <c r="M133" s="48"/>
      <c r="N133" s="48">
        <v>568960</v>
      </c>
      <c r="O133" s="48"/>
      <c r="P133" s="48"/>
      <c r="Q133" s="48"/>
      <c r="R133" s="48"/>
      <c r="S133" s="48"/>
      <c r="T133" s="48"/>
      <c r="U133" s="48"/>
      <c r="V133" s="48"/>
      <c r="W133" s="48"/>
    </row>
    <row r="134" ht="32.9" customHeight="true" spans="1:23">
      <c r="A134" s="18"/>
      <c r="B134" s="18"/>
      <c r="C134" s="18" t="s">
        <v>639</v>
      </c>
      <c r="D134" s="18"/>
      <c r="E134" s="18"/>
      <c r="F134" s="18"/>
      <c r="G134" s="18"/>
      <c r="H134" s="18"/>
      <c r="I134" s="48">
        <v>512365.5</v>
      </c>
      <c r="J134" s="48"/>
      <c r="K134" s="48"/>
      <c r="L134" s="48"/>
      <c r="M134" s="48"/>
      <c r="N134" s="48">
        <v>512365.5</v>
      </c>
      <c r="O134" s="48"/>
      <c r="P134" s="48"/>
      <c r="Q134" s="48"/>
      <c r="R134" s="48"/>
      <c r="S134" s="48"/>
      <c r="T134" s="48"/>
      <c r="U134" s="48"/>
      <c r="V134" s="48"/>
      <c r="W134" s="48"/>
    </row>
    <row r="135" ht="32.9" customHeight="true" spans="1:23">
      <c r="A135" s="18" t="s">
        <v>567</v>
      </c>
      <c r="B135" s="155" t="s">
        <v>640</v>
      </c>
      <c r="C135" s="18" t="s">
        <v>639</v>
      </c>
      <c r="D135" s="18" t="s">
        <v>67</v>
      </c>
      <c r="E135" s="18" t="s">
        <v>126</v>
      </c>
      <c r="F135" s="18" t="s">
        <v>542</v>
      </c>
      <c r="G135" s="18" t="s">
        <v>341</v>
      </c>
      <c r="H135" s="18" t="s">
        <v>342</v>
      </c>
      <c r="I135" s="48">
        <v>60220</v>
      </c>
      <c r="J135" s="48"/>
      <c r="K135" s="48"/>
      <c r="L135" s="48"/>
      <c r="M135" s="48"/>
      <c r="N135" s="48">
        <v>60220</v>
      </c>
      <c r="O135" s="48"/>
      <c r="P135" s="48"/>
      <c r="Q135" s="48"/>
      <c r="R135" s="48"/>
      <c r="S135" s="48"/>
      <c r="T135" s="48"/>
      <c r="U135" s="48"/>
      <c r="V135" s="48"/>
      <c r="W135" s="48"/>
    </row>
    <row r="136" ht="32.9" customHeight="true" spans="1:23">
      <c r="A136" s="18" t="s">
        <v>567</v>
      </c>
      <c r="B136" s="155" t="s">
        <v>640</v>
      </c>
      <c r="C136" s="18" t="s">
        <v>639</v>
      </c>
      <c r="D136" s="18" t="s">
        <v>67</v>
      </c>
      <c r="E136" s="18" t="s">
        <v>126</v>
      </c>
      <c r="F136" s="18" t="s">
        <v>542</v>
      </c>
      <c r="G136" s="18" t="s">
        <v>314</v>
      </c>
      <c r="H136" s="18" t="s">
        <v>315</v>
      </c>
      <c r="I136" s="48">
        <v>15000</v>
      </c>
      <c r="J136" s="48"/>
      <c r="K136" s="48"/>
      <c r="L136" s="48"/>
      <c r="M136" s="48"/>
      <c r="N136" s="48">
        <v>15000</v>
      </c>
      <c r="O136" s="48"/>
      <c r="P136" s="48"/>
      <c r="Q136" s="48"/>
      <c r="R136" s="48"/>
      <c r="S136" s="48"/>
      <c r="T136" s="48"/>
      <c r="U136" s="48"/>
      <c r="V136" s="48"/>
      <c r="W136" s="48"/>
    </row>
    <row r="137" ht="32.9" customHeight="true" spans="1:23">
      <c r="A137" s="18" t="s">
        <v>567</v>
      </c>
      <c r="B137" s="155" t="s">
        <v>640</v>
      </c>
      <c r="C137" s="18" t="s">
        <v>639</v>
      </c>
      <c r="D137" s="18" t="s">
        <v>67</v>
      </c>
      <c r="E137" s="18" t="s">
        <v>126</v>
      </c>
      <c r="F137" s="18" t="s">
        <v>542</v>
      </c>
      <c r="G137" s="18" t="s">
        <v>283</v>
      </c>
      <c r="H137" s="18" t="s">
        <v>284</v>
      </c>
      <c r="I137" s="48">
        <v>307145.5</v>
      </c>
      <c r="J137" s="48"/>
      <c r="K137" s="48"/>
      <c r="L137" s="48"/>
      <c r="M137" s="48"/>
      <c r="N137" s="48">
        <v>307145.5</v>
      </c>
      <c r="O137" s="48"/>
      <c r="P137" s="48"/>
      <c r="Q137" s="48"/>
      <c r="R137" s="48"/>
      <c r="S137" s="48"/>
      <c r="T137" s="48"/>
      <c r="U137" s="48"/>
      <c r="V137" s="48"/>
      <c r="W137" s="48"/>
    </row>
    <row r="138" ht="32.9" customHeight="true" spans="1:23">
      <c r="A138" s="18" t="s">
        <v>567</v>
      </c>
      <c r="B138" s="155" t="s">
        <v>640</v>
      </c>
      <c r="C138" s="18" t="s">
        <v>639</v>
      </c>
      <c r="D138" s="18" t="s">
        <v>67</v>
      </c>
      <c r="E138" s="18" t="s">
        <v>126</v>
      </c>
      <c r="F138" s="18" t="s">
        <v>542</v>
      </c>
      <c r="G138" s="18" t="s">
        <v>273</v>
      </c>
      <c r="H138" s="18" t="s">
        <v>274</v>
      </c>
      <c r="I138" s="48">
        <v>30000</v>
      </c>
      <c r="J138" s="48"/>
      <c r="K138" s="48"/>
      <c r="L138" s="48"/>
      <c r="M138" s="48"/>
      <c r="N138" s="48">
        <v>30000</v>
      </c>
      <c r="O138" s="48"/>
      <c r="P138" s="48"/>
      <c r="Q138" s="48"/>
      <c r="R138" s="48"/>
      <c r="S138" s="48"/>
      <c r="T138" s="48"/>
      <c r="U138" s="48"/>
      <c r="V138" s="48"/>
      <c r="W138" s="48"/>
    </row>
    <row r="139" ht="32.9" customHeight="true" spans="1:23">
      <c r="A139" s="18" t="s">
        <v>567</v>
      </c>
      <c r="B139" s="155" t="s">
        <v>640</v>
      </c>
      <c r="C139" s="18" t="s">
        <v>639</v>
      </c>
      <c r="D139" s="18" t="s">
        <v>67</v>
      </c>
      <c r="E139" s="18" t="s">
        <v>126</v>
      </c>
      <c r="F139" s="18" t="s">
        <v>542</v>
      </c>
      <c r="G139" s="18" t="s">
        <v>629</v>
      </c>
      <c r="H139" s="18" t="s">
        <v>630</v>
      </c>
      <c r="I139" s="48">
        <v>100000</v>
      </c>
      <c r="J139" s="48"/>
      <c r="K139" s="48"/>
      <c r="L139" s="48"/>
      <c r="M139" s="48"/>
      <c r="N139" s="48">
        <v>100000</v>
      </c>
      <c r="O139" s="48"/>
      <c r="P139" s="48"/>
      <c r="Q139" s="48"/>
      <c r="R139" s="48"/>
      <c r="S139" s="48"/>
      <c r="T139" s="48"/>
      <c r="U139" s="48"/>
      <c r="V139" s="48"/>
      <c r="W139" s="48"/>
    </row>
    <row r="140" ht="32.9" customHeight="true" spans="1:23">
      <c r="A140" s="18"/>
      <c r="B140" s="18"/>
      <c r="C140" s="18" t="s">
        <v>641</v>
      </c>
      <c r="D140" s="18"/>
      <c r="E140" s="18"/>
      <c r="F140" s="18"/>
      <c r="G140" s="18"/>
      <c r="H140" s="18"/>
      <c r="I140" s="48">
        <v>152232</v>
      </c>
      <c r="J140" s="48"/>
      <c r="K140" s="48"/>
      <c r="L140" s="48"/>
      <c r="M140" s="48"/>
      <c r="N140" s="48">
        <v>152232</v>
      </c>
      <c r="O140" s="48"/>
      <c r="P140" s="48"/>
      <c r="Q140" s="48"/>
      <c r="R140" s="48"/>
      <c r="S140" s="48"/>
      <c r="T140" s="48"/>
      <c r="U140" s="48"/>
      <c r="V140" s="48"/>
      <c r="W140" s="48"/>
    </row>
    <row r="141" ht="32.9" customHeight="true" spans="1:23">
      <c r="A141" s="18" t="s">
        <v>567</v>
      </c>
      <c r="B141" s="155" t="s">
        <v>642</v>
      </c>
      <c r="C141" s="18" t="s">
        <v>641</v>
      </c>
      <c r="D141" s="18" t="s">
        <v>67</v>
      </c>
      <c r="E141" s="18" t="s">
        <v>103</v>
      </c>
      <c r="F141" s="18" t="s">
        <v>643</v>
      </c>
      <c r="G141" s="18" t="s">
        <v>341</v>
      </c>
      <c r="H141" s="18" t="s">
        <v>342</v>
      </c>
      <c r="I141" s="48">
        <v>8000</v>
      </c>
      <c r="J141" s="48"/>
      <c r="K141" s="48"/>
      <c r="L141" s="48"/>
      <c r="M141" s="48"/>
      <c r="N141" s="48">
        <v>8000</v>
      </c>
      <c r="O141" s="48"/>
      <c r="P141" s="48"/>
      <c r="Q141" s="48"/>
      <c r="R141" s="48"/>
      <c r="S141" s="48"/>
      <c r="T141" s="48"/>
      <c r="U141" s="48"/>
      <c r="V141" s="48"/>
      <c r="W141" s="48"/>
    </row>
    <row r="142" ht="32.9" customHeight="true" spans="1:23">
      <c r="A142" s="18" t="s">
        <v>567</v>
      </c>
      <c r="B142" s="155" t="s">
        <v>642</v>
      </c>
      <c r="C142" s="18" t="s">
        <v>641</v>
      </c>
      <c r="D142" s="18" t="s">
        <v>67</v>
      </c>
      <c r="E142" s="18" t="s">
        <v>103</v>
      </c>
      <c r="F142" s="18" t="s">
        <v>643</v>
      </c>
      <c r="G142" s="18" t="s">
        <v>314</v>
      </c>
      <c r="H142" s="18" t="s">
        <v>315</v>
      </c>
      <c r="I142" s="48">
        <v>10000</v>
      </c>
      <c r="J142" s="48"/>
      <c r="K142" s="48"/>
      <c r="L142" s="48"/>
      <c r="M142" s="48"/>
      <c r="N142" s="48">
        <v>10000</v>
      </c>
      <c r="O142" s="48"/>
      <c r="P142" s="48"/>
      <c r="Q142" s="48"/>
      <c r="R142" s="48"/>
      <c r="S142" s="48"/>
      <c r="T142" s="48"/>
      <c r="U142" s="48"/>
      <c r="V142" s="48"/>
      <c r="W142" s="48"/>
    </row>
    <row r="143" ht="32.9" customHeight="true" spans="1:23">
      <c r="A143" s="18" t="s">
        <v>567</v>
      </c>
      <c r="B143" s="155" t="s">
        <v>642</v>
      </c>
      <c r="C143" s="18" t="s">
        <v>641</v>
      </c>
      <c r="D143" s="18" t="s">
        <v>67</v>
      </c>
      <c r="E143" s="18" t="s">
        <v>103</v>
      </c>
      <c r="F143" s="18" t="s">
        <v>643</v>
      </c>
      <c r="G143" s="18" t="s">
        <v>281</v>
      </c>
      <c r="H143" s="18" t="s">
        <v>282</v>
      </c>
      <c r="I143" s="48">
        <v>3232</v>
      </c>
      <c r="J143" s="48"/>
      <c r="K143" s="48"/>
      <c r="L143" s="48"/>
      <c r="M143" s="48"/>
      <c r="N143" s="48">
        <v>3232</v>
      </c>
      <c r="O143" s="48"/>
      <c r="P143" s="48"/>
      <c r="Q143" s="48"/>
      <c r="R143" s="48"/>
      <c r="S143" s="48"/>
      <c r="T143" s="48"/>
      <c r="U143" s="48"/>
      <c r="V143" s="48"/>
      <c r="W143" s="48"/>
    </row>
    <row r="144" ht="32.9" customHeight="true" spans="1:23">
      <c r="A144" s="18" t="s">
        <v>567</v>
      </c>
      <c r="B144" s="155" t="s">
        <v>642</v>
      </c>
      <c r="C144" s="18" t="s">
        <v>641</v>
      </c>
      <c r="D144" s="18" t="s">
        <v>67</v>
      </c>
      <c r="E144" s="18" t="s">
        <v>103</v>
      </c>
      <c r="F144" s="18" t="s">
        <v>643</v>
      </c>
      <c r="G144" s="18" t="s">
        <v>625</v>
      </c>
      <c r="H144" s="18" t="s">
        <v>626</v>
      </c>
      <c r="I144" s="48">
        <v>123000</v>
      </c>
      <c r="J144" s="48"/>
      <c r="K144" s="48"/>
      <c r="L144" s="48"/>
      <c r="M144" s="48"/>
      <c r="N144" s="48">
        <v>123000</v>
      </c>
      <c r="O144" s="48"/>
      <c r="P144" s="48"/>
      <c r="Q144" s="48"/>
      <c r="R144" s="48"/>
      <c r="S144" s="48"/>
      <c r="T144" s="48"/>
      <c r="U144" s="48"/>
      <c r="V144" s="48"/>
      <c r="W144" s="48"/>
    </row>
    <row r="145" ht="32.9" customHeight="true" spans="1:23">
      <c r="A145" s="18" t="s">
        <v>567</v>
      </c>
      <c r="B145" s="155" t="s">
        <v>642</v>
      </c>
      <c r="C145" s="18" t="s">
        <v>641</v>
      </c>
      <c r="D145" s="18" t="s">
        <v>67</v>
      </c>
      <c r="E145" s="18" t="s">
        <v>103</v>
      </c>
      <c r="F145" s="18" t="s">
        <v>643</v>
      </c>
      <c r="G145" s="18" t="s">
        <v>273</v>
      </c>
      <c r="H145" s="18" t="s">
        <v>274</v>
      </c>
      <c r="I145" s="48">
        <v>8000</v>
      </c>
      <c r="J145" s="48"/>
      <c r="K145" s="48"/>
      <c r="L145" s="48"/>
      <c r="M145" s="48"/>
      <c r="N145" s="48">
        <v>8000</v>
      </c>
      <c r="O145" s="48"/>
      <c r="P145" s="48"/>
      <c r="Q145" s="48"/>
      <c r="R145" s="48"/>
      <c r="S145" s="48"/>
      <c r="T145" s="48"/>
      <c r="U145" s="48"/>
      <c r="V145" s="48"/>
      <c r="W145" s="48"/>
    </row>
    <row r="146" ht="32.9" customHeight="true" spans="1:23">
      <c r="A146" s="18"/>
      <c r="B146" s="18"/>
      <c r="C146" s="18" t="s">
        <v>644</v>
      </c>
      <c r="D146" s="18"/>
      <c r="E146" s="18"/>
      <c r="F146" s="18"/>
      <c r="G146" s="18"/>
      <c r="H146" s="18"/>
      <c r="I146" s="48">
        <v>7911</v>
      </c>
      <c r="J146" s="48"/>
      <c r="K146" s="48"/>
      <c r="L146" s="48"/>
      <c r="M146" s="48"/>
      <c r="N146" s="48">
        <v>7911</v>
      </c>
      <c r="O146" s="48"/>
      <c r="P146" s="48"/>
      <c r="Q146" s="48"/>
      <c r="R146" s="48"/>
      <c r="S146" s="48"/>
      <c r="T146" s="48"/>
      <c r="U146" s="48"/>
      <c r="V146" s="48"/>
      <c r="W146" s="48"/>
    </row>
    <row r="147" ht="32.9" customHeight="true" spans="1:23">
      <c r="A147" s="18" t="s">
        <v>567</v>
      </c>
      <c r="B147" s="155" t="s">
        <v>645</v>
      </c>
      <c r="C147" s="18" t="s">
        <v>644</v>
      </c>
      <c r="D147" s="18" t="s">
        <v>67</v>
      </c>
      <c r="E147" s="18" t="s">
        <v>154</v>
      </c>
      <c r="F147" s="18" t="s">
        <v>569</v>
      </c>
      <c r="G147" s="18" t="s">
        <v>281</v>
      </c>
      <c r="H147" s="18" t="s">
        <v>282</v>
      </c>
      <c r="I147" s="48">
        <v>7911</v>
      </c>
      <c r="J147" s="48"/>
      <c r="K147" s="48"/>
      <c r="L147" s="48"/>
      <c r="M147" s="48"/>
      <c r="N147" s="48">
        <v>7911</v>
      </c>
      <c r="O147" s="48"/>
      <c r="P147" s="48"/>
      <c r="Q147" s="48"/>
      <c r="R147" s="48"/>
      <c r="S147" s="48"/>
      <c r="T147" s="48"/>
      <c r="U147" s="48"/>
      <c r="V147" s="48"/>
      <c r="W147" s="48"/>
    </row>
    <row r="148" ht="32.9" customHeight="true" spans="1:23">
      <c r="A148" s="18"/>
      <c r="B148" s="18"/>
      <c r="C148" s="18" t="s">
        <v>646</v>
      </c>
      <c r="D148" s="18"/>
      <c r="E148" s="18"/>
      <c r="F148" s="18"/>
      <c r="G148" s="18"/>
      <c r="H148" s="18"/>
      <c r="I148" s="48">
        <v>855962.99</v>
      </c>
      <c r="J148" s="48"/>
      <c r="K148" s="48"/>
      <c r="L148" s="48"/>
      <c r="M148" s="48"/>
      <c r="N148" s="48">
        <v>855962.99</v>
      </c>
      <c r="O148" s="48"/>
      <c r="P148" s="48"/>
      <c r="Q148" s="48"/>
      <c r="R148" s="48"/>
      <c r="S148" s="48"/>
      <c r="T148" s="48"/>
      <c r="U148" s="48"/>
      <c r="V148" s="48"/>
      <c r="W148" s="48"/>
    </row>
    <row r="149" ht="32.9" customHeight="true" spans="1:23">
      <c r="A149" s="18" t="s">
        <v>567</v>
      </c>
      <c r="B149" s="155" t="s">
        <v>647</v>
      </c>
      <c r="C149" s="18" t="s">
        <v>646</v>
      </c>
      <c r="D149" s="18" t="s">
        <v>67</v>
      </c>
      <c r="E149" s="18" t="s">
        <v>141</v>
      </c>
      <c r="F149" s="18" t="s">
        <v>555</v>
      </c>
      <c r="G149" s="18" t="s">
        <v>277</v>
      </c>
      <c r="H149" s="18" t="s">
        <v>278</v>
      </c>
      <c r="I149" s="48">
        <v>186455.5</v>
      </c>
      <c r="J149" s="48"/>
      <c r="K149" s="48"/>
      <c r="L149" s="48"/>
      <c r="M149" s="48"/>
      <c r="N149" s="48">
        <v>186455.5</v>
      </c>
      <c r="O149" s="48"/>
      <c r="P149" s="48"/>
      <c r="Q149" s="48"/>
      <c r="R149" s="48"/>
      <c r="S149" s="48"/>
      <c r="T149" s="48"/>
      <c r="U149" s="48"/>
      <c r="V149" s="48"/>
      <c r="W149" s="48"/>
    </row>
    <row r="150" ht="32.9" customHeight="true" spans="1:23">
      <c r="A150" s="18" t="s">
        <v>567</v>
      </c>
      <c r="B150" s="155" t="s">
        <v>647</v>
      </c>
      <c r="C150" s="18" t="s">
        <v>646</v>
      </c>
      <c r="D150" s="18" t="s">
        <v>67</v>
      </c>
      <c r="E150" s="18" t="s">
        <v>141</v>
      </c>
      <c r="F150" s="18" t="s">
        <v>555</v>
      </c>
      <c r="G150" s="18" t="s">
        <v>314</v>
      </c>
      <c r="H150" s="18" t="s">
        <v>315</v>
      </c>
      <c r="I150" s="48">
        <v>2360.49</v>
      </c>
      <c r="J150" s="48"/>
      <c r="K150" s="48"/>
      <c r="L150" s="48"/>
      <c r="M150" s="48"/>
      <c r="N150" s="48">
        <v>2360.49</v>
      </c>
      <c r="O150" s="48"/>
      <c r="P150" s="48"/>
      <c r="Q150" s="48"/>
      <c r="R150" s="48"/>
      <c r="S150" s="48"/>
      <c r="T150" s="48"/>
      <c r="U150" s="48"/>
      <c r="V150" s="48"/>
      <c r="W150" s="48"/>
    </row>
    <row r="151" ht="32.9" customHeight="true" spans="1:23">
      <c r="A151" s="18" t="s">
        <v>567</v>
      </c>
      <c r="B151" s="155" t="s">
        <v>647</v>
      </c>
      <c r="C151" s="18" t="s">
        <v>646</v>
      </c>
      <c r="D151" s="18" t="s">
        <v>67</v>
      </c>
      <c r="E151" s="18" t="s">
        <v>141</v>
      </c>
      <c r="F151" s="18" t="s">
        <v>555</v>
      </c>
      <c r="G151" s="18" t="s">
        <v>281</v>
      </c>
      <c r="H151" s="18" t="s">
        <v>282</v>
      </c>
      <c r="I151" s="48">
        <v>121007</v>
      </c>
      <c r="J151" s="48"/>
      <c r="K151" s="48"/>
      <c r="L151" s="48"/>
      <c r="M151" s="48"/>
      <c r="N151" s="48">
        <v>121007</v>
      </c>
      <c r="O151" s="48"/>
      <c r="P151" s="48"/>
      <c r="Q151" s="48"/>
      <c r="R151" s="48"/>
      <c r="S151" s="48"/>
      <c r="T151" s="48"/>
      <c r="U151" s="48"/>
      <c r="V151" s="48"/>
      <c r="W151" s="48"/>
    </row>
    <row r="152" ht="32.9" customHeight="true" spans="1:23">
      <c r="A152" s="18" t="s">
        <v>567</v>
      </c>
      <c r="B152" s="155" t="s">
        <v>647</v>
      </c>
      <c r="C152" s="18" t="s">
        <v>646</v>
      </c>
      <c r="D152" s="18" t="s">
        <v>67</v>
      </c>
      <c r="E152" s="18" t="s">
        <v>141</v>
      </c>
      <c r="F152" s="18" t="s">
        <v>555</v>
      </c>
      <c r="G152" s="18" t="s">
        <v>625</v>
      </c>
      <c r="H152" s="18" t="s">
        <v>626</v>
      </c>
      <c r="I152" s="48">
        <v>74400</v>
      </c>
      <c r="J152" s="48"/>
      <c r="K152" s="48"/>
      <c r="L152" s="48"/>
      <c r="M152" s="48"/>
      <c r="N152" s="48">
        <v>74400</v>
      </c>
      <c r="O152" s="48"/>
      <c r="P152" s="48"/>
      <c r="Q152" s="48"/>
      <c r="R152" s="48"/>
      <c r="S152" s="48"/>
      <c r="T152" s="48"/>
      <c r="U152" s="48"/>
      <c r="V152" s="48"/>
      <c r="W152" s="48"/>
    </row>
    <row r="153" ht="32.9" customHeight="true" spans="1:23">
      <c r="A153" s="18" t="s">
        <v>567</v>
      </c>
      <c r="B153" s="155" t="s">
        <v>647</v>
      </c>
      <c r="C153" s="18" t="s">
        <v>646</v>
      </c>
      <c r="D153" s="18" t="s">
        <v>67</v>
      </c>
      <c r="E153" s="18" t="s">
        <v>141</v>
      </c>
      <c r="F153" s="18" t="s">
        <v>555</v>
      </c>
      <c r="G153" s="18" t="s">
        <v>316</v>
      </c>
      <c r="H153" s="18" t="s">
        <v>317</v>
      </c>
      <c r="I153" s="48">
        <v>4000</v>
      </c>
      <c r="J153" s="48"/>
      <c r="K153" s="48"/>
      <c r="L153" s="48"/>
      <c r="M153" s="48"/>
      <c r="N153" s="48">
        <v>4000</v>
      </c>
      <c r="O153" s="48"/>
      <c r="P153" s="48"/>
      <c r="Q153" s="48"/>
      <c r="R153" s="48"/>
      <c r="S153" s="48"/>
      <c r="T153" s="48"/>
      <c r="U153" s="48"/>
      <c r="V153" s="48"/>
      <c r="W153" s="48"/>
    </row>
    <row r="154" ht="32.9" customHeight="true" spans="1:23">
      <c r="A154" s="18" t="s">
        <v>567</v>
      </c>
      <c r="B154" s="155" t="s">
        <v>647</v>
      </c>
      <c r="C154" s="18" t="s">
        <v>646</v>
      </c>
      <c r="D154" s="18" t="s">
        <v>67</v>
      </c>
      <c r="E154" s="18" t="s">
        <v>141</v>
      </c>
      <c r="F154" s="18" t="s">
        <v>555</v>
      </c>
      <c r="G154" s="18" t="s">
        <v>283</v>
      </c>
      <c r="H154" s="18" t="s">
        <v>284</v>
      </c>
      <c r="I154" s="48">
        <v>30800</v>
      </c>
      <c r="J154" s="48"/>
      <c r="K154" s="48"/>
      <c r="L154" s="48"/>
      <c r="M154" s="48"/>
      <c r="N154" s="48">
        <v>30800</v>
      </c>
      <c r="O154" s="48"/>
      <c r="P154" s="48"/>
      <c r="Q154" s="48"/>
      <c r="R154" s="48"/>
      <c r="S154" s="48"/>
      <c r="T154" s="48"/>
      <c r="U154" s="48"/>
      <c r="V154" s="48"/>
      <c r="W154" s="48"/>
    </row>
    <row r="155" ht="32.9" customHeight="true" spans="1:23">
      <c r="A155" s="18" t="s">
        <v>567</v>
      </c>
      <c r="B155" s="155" t="s">
        <v>647</v>
      </c>
      <c r="C155" s="18" t="s">
        <v>646</v>
      </c>
      <c r="D155" s="18" t="s">
        <v>67</v>
      </c>
      <c r="E155" s="18" t="s">
        <v>141</v>
      </c>
      <c r="F155" s="18" t="s">
        <v>555</v>
      </c>
      <c r="G155" s="18" t="s">
        <v>273</v>
      </c>
      <c r="H155" s="18" t="s">
        <v>274</v>
      </c>
      <c r="I155" s="48">
        <v>263640</v>
      </c>
      <c r="J155" s="48"/>
      <c r="K155" s="48"/>
      <c r="L155" s="48"/>
      <c r="M155" s="48"/>
      <c r="N155" s="48">
        <v>263640</v>
      </c>
      <c r="O155" s="48"/>
      <c r="P155" s="48"/>
      <c r="Q155" s="48"/>
      <c r="R155" s="48"/>
      <c r="S155" s="48"/>
      <c r="T155" s="48"/>
      <c r="U155" s="48"/>
      <c r="V155" s="48"/>
      <c r="W155" s="48"/>
    </row>
    <row r="156" ht="32.9" customHeight="true" spans="1:23">
      <c r="A156" s="18" t="s">
        <v>567</v>
      </c>
      <c r="B156" s="155" t="s">
        <v>647</v>
      </c>
      <c r="C156" s="18" t="s">
        <v>646</v>
      </c>
      <c r="D156" s="18" t="s">
        <v>67</v>
      </c>
      <c r="E156" s="18" t="s">
        <v>141</v>
      </c>
      <c r="F156" s="18" t="s">
        <v>555</v>
      </c>
      <c r="G156" s="18" t="s">
        <v>629</v>
      </c>
      <c r="H156" s="18" t="s">
        <v>630</v>
      </c>
      <c r="I156" s="48">
        <v>173300</v>
      </c>
      <c r="J156" s="48"/>
      <c r="K156" s="48"/>
      <c r="L156" s="48"/>
      <c r="M156" s="48"/>
      <c r="N156" s="48">
        <v>173300</v>
      </c>
      <c r="O156" s="48"/>
      <c r="P156" s="48"/>
      <c r="Q156" s="48"/>
      <c r="R156" s="48"/>
      <c r="S156" s="48"/>
      <c r="T156" s="48"/>
      <c r="U156" s="48"/>
      <c r="V156" s="48"/>
      <c r="W156" s="48"/>
    </row>
    <row r="157" ht="32.9" customHeight="true" spans="1:23">
      <c r="A157" s="18"/>
      <c r="B157" s="18"/>
      <c r="C157" s="18" t="s">
        <v>648</v>
      </c>
      <c r="D157" s="18"/>
      <c r="E157" s="18"/>
      <c r="F157" s="18"/>
      <c r="G157" s="18"/>
      <c r="H157" s="18"/>
      <c r="I157" s="48">
        <v>905700</v>
      </c>
      <c r="J157" s="48"/>
      <c r="K157" s="48"/>
      <c r="L157" s="48"/>
      <c r="M157" s="48"/>
      <c r="N157" s="48">
        <v>905700</v>
      </c>
      <c r="O157" s="48"/>
      <c r="P157" s="48"/>
      <c r="Q157" s="48"/>
      <c r="R157" s="48"/>
      <c r="S157" s="48"/>
      <c r="T157" s="48"/>
      <c r="U157" s="48"/>
      <c r="V157" s="48"/>
      <c r="W157" s="48"/>
    </row>
    <row r="158" ht="32.9" customHeight="true" spans="1:23">
      <c r="A158" s="18" t="s">
        <v>567</v>
      </c>
      <c r="B158" s="155" t="s">
        <v>649</v>
      </c>
      <c r="C158" s="18" t="s">
        <v>648</v>
      </c>
      <c r="D158" s="18" t="s">
        <v>67</v>
      </c>
      <c r="E158" s="18" t="s">
        <v>142</v>
      </c>
      <c r="F158" s="18" t="s">
        <v>549</v>
      </c>
      <c r="G158" s="18" t="s">
        <v>277</v>
      </c>
      <c r="H158" s="18" t="s">
        <v>278</v>
      </c>
      <c r="I158" s="48">
        <v>116790</v>
      </c>
      <c r="J158" s="48"/>
      <c r="K158" s="48"/>
      <c r="L158" s="48"/>
      <c r="M158" s="48"/>
      <c r="N158" s="48">
        <v>116790</v>
      </c>
      <c r="O158" s="48"/>
      <c r="P158" s="48"/>
      <c r="Q158" s="48"/>
      <c r="R158" s="48"/>
      <c r="S158" s="48"/>
      <c r="T158" s="48"/>
      <c r="U158" s="48"/>
      <c r="V158" s="48"/>
      <c r="W158" s="48"/>
    </row>
    <row r="159" ht="32.9" customHeight="true" spans="1:23">
      <c r="A159" s="18" t="s">
        <v>567</v>
      </c>
      <c r="B159" s="155" t="s">
        <v>649</v>
      </c>
      <c r="C159" s="18" t="s">
        <v>648</v>
      </c>
      <c r="D159" s="18" t="s">
        <v>67</v>
      </c>
      <c r="E159" s="18" t="s">
        <v>142</v>
      </c>
      <c r="F159" s="18" t="s">
        <v>549</v>
      </c>
      <c r="G159" s="18" t="s">
        <v>281</v>
      </c>
      <c r="H159" s="18" t="s">
        <v>282</v>
      </c>
      <c r="I159" s="48">
        <v>368400</v>
      </c>
      <c r="J159" s="48"/>
      <c r="K159" s="48"/>
      <c r="L159" s="48"/>
      <c r="M159" s="48"/>
      <c r="N159" s="48">
        <v>368400</v>
      </c>
      <c r="O159" s="48"/>
      <c r="P159" s="48"/>
      <c r="Q159" s="48"/>
      <c r="R159" s="48"/>
      <c r="S159" s="48"/>
      <c r="T159" s="48"/>
      <c r="U159" s="48"/>
      <c r="V159" s="48"/>
      <c r="W159" s="48"/>
    </row>
    <row r="160" ht="32.9" customHeight="true" spans="1:23">
      <c r="A160" s="18" t="s">
        <v>567</v>
      </c>
      <c r="B160" s="155" t="s">
        <v>649</v>
      </c>
      <c r="C160" s="18" t="s">
        <v>648</v>
      </c>
      <c r="D160" s="18" t="s">
        <v>67</v>
      </c>
      <c r="E160" s="18" t="s">
        <v>142</v>
      </c>
      <c r="F160" s="18" t="s">
        <v>549</v>
      </c>
      <c r="G160" s="18" t="s">
        <v>625</v>
      </c>
      <c r="H160" s="18" t="s">
        <v>626</v>
      </c>
      <c r="I160" s="48">
        <v>317410</v>
      </c>
      <c r="J160" s="48"/>
      <c r="K160" s="48"/>
      <c r="L160" s="48"/>
      <c r="M160" s="48"/>
      <c r="N160" s="48">
        <v>317410</v>
      </c>
      <c r="O160" s="48"/>
      <c r="P160" s="48"/>
      <c r="Q160" s="48"/>
      <c r="R160" s="48"/>
      <c r="S160" s="48"/>
      <c r="T160" s="48"/>
      <c r="U160" s="48"/>
      <c r="V160" s="48"/>
      <c r="W160" s="48"/>
    </row>
    <row r="161" ht="32.9" customHeight="true" spans="1:23">
      <c r="A161" s="18" t="s">
        <v>567</v>
      </c>
      <c r="B161" s="155" t="s">
        <v>649</v>
      </c>
      <c r="C161" s="18" t="s">
        <v>648</v>
      </c>
      <c r="D161" s="18" t="s">
        <v>67</v>
      </c>
      <c r="E161" s="18" t="s">
        <v>142</v>
      </c>
      <c r="F161" s="18" t="s">
        <v>549</v>
      </c>
      <c r="G161" s="18" t="s">
        <v>316</v>
      </c>
      <c r="H161" s="18" t="s">
        <v>317</v>
      </c>
      <c r="I161" s="48">
        <v>1500</v>
      </c>
      <c r="J161" s="48"/>
      <c r="K161" s="48"/>
      <c r="L161" s="48"/>
      <c r="M161" s="48"/>
      <c r="N161" s="48">
        <v>1500</v>
      </c>
      <c r="O161" s="48"/>
      <c r="P161" s="48"/>
      <c r="Q161" s="48"/>
      <c r="R161" s="48"/>
      <c r="S161" s="48"/>
      <c r="T161" s="48"/>
      <c r="U161" s="48"/>
      <c r="V161" s="48"/>
      <c r="W161" s="48"/>
    </row>
    <row r="162" ht="32.9" customHeight="true" spans="1:23">
      <c r="A162" s="18" t="s">
        <v>567</v>
      </c>
      <c r="B162" s="155" t="s">
        <v>649</v>
      </c>
      <c r="C162" s="18" t="s">
        <v>648</v>
      </c>
      <c r="D162" s="18" t="s">
        <v>67</v>
      </c>
      <c r="E162" s="18" t="s">
        <v>142</v>
      </c>
      <c r="F162" s="18" t="s">
        <v>549</v>
      </c>
      <c r="G162" s="18" t="s">
        <v>273</v>
      </c>
      <c r="H162" s="18" t="s">
        <v>274</v>
      </c>
      <c r="I162" s="48">
        <v>62100</v>
      </c>
      <c r="J162" s="48"/>
      <c r="K162" s="48"/>
      <c r="L162" s="48"/>
      <c r="M162" s="48"/>
      <c r="N162" s="48">
        <v>62100</v>
      </c>
      <c r="O162" s="48"/>
      <c r="P162" s="48"/>
      <c r="Q162" s="48"/>
      <c r="R162" s="48"/>
      <c r="S162" s="48"/>
      <c r="T162" s="48"/>
      <c r="U162" s="48"/>
      <c r="V162" s="48"/>
      <c r="W162" s="48"/>
    </row>
    <row r="163" ht="32.9" customHeight="true" spans="1:23">
      <c r="A163" s="18" t="s">
        <v>567</v>
      </c>
      <c r="B163" s="155" t="s">
        <v>649</v>
      </c>
      <c r="C163" s="18" t="s">
        <v>648</v>
      </c>
      <c r="D163" s="18" t="s">
        <v>67</v>
      </c>
      <c r="E163" s="18" t="s">
        <v>142</v>
      </c>
      <c r="F163" s="18" t="s">
        <v>549</v>
      </c>
      <c r="G163" s="18" t="s">
        <v>287</v>
      </c>
      <c r="H163" s="18" t="s">
        <v>288</v>
      </c>
      <c r="I163" s="48">
        <v>39500</v>
      </c>
      <c r="J163" s="48"/>
      <c r="K163" s="48"/>
      <c r="L163" s="48"/>
      <c r="M163" s="48"/>
      <c r="N163" s="48">
        <v>39500</v>
      </c>
      <c r="O163" s="48"/>
      <c r="P163" s="48"/>
      <c r="Q163" s="48"/>
      <c r="R163" s="48"/>
      <c r="S163" s="48"/>
      <c r="T163" s="48"/>
      <c r="U163" s="48"/>
      <c r="V163" s="48"/>
      <c r="W163" s="48"/>
    </row>
    <row r="164" ht="32.9" customHeight="true" spans="1:23">
      <c r="A164" s="18"/>
      <c r="B164" s="18"/>
      <c r="C164" s="18" t="s">
        <v>650</v>
      </c>
      <c r="D164" s="18"/>
      <c r="E164" s="18"/>
      <c r="F164" s="18"/>
      <c r="G164" s="18"/>
      <c r="H164" s="18"/>
      <c r="I164" s="48">
        <v>22160</v>
      </c>
      <c r="J164" s="48"/>
      <c r="K164" s="48"/>
      <c r="L164" s="48"/>
      <c r="M164" s="48"/>
      <c r="N164" s="48">
        <v>22160</v>
      </c>
      <c r="O164" s="48"/>
      <c r="P164" s="48"/>
      <c r="Q164" s="48"/>
      <c r="R164" s="48"/>
      <c r="S164" s="48"/>
      <c r="T164" s="48"/>
      <c r="U164" s="48"/>
      <c r="V164" s="48"/>
      <c r="W164" s="48"/>
    </row>
    <row r="165" ht="32.9" customHeight="true" spans="1:23">
      <c r="A165" s="18" t="s">
        <v>567</v>
      </c>
      <c r="B165" s="155" t="s">
        <v>651</v>
      </c>
      <c r="C165" s="18" t="s">
        <v>650</v>
      </c>
      <c r="D165" s="18" t="s">
        <v>67</v>
      </c>
      <c r="E165" s="18" t="s">
        <v>154</v>
      </c>
      <c r="F165" s="18" t="s">
        <v>569</v>
      </c>
      <c r="G165" s="18" t="s">
        <v>277</v>
      </c>
      <c r="H165" s="18" t="s">
        <v>278</v>
      </c>
      <c r="I165" s="48">
        <v>470</v>
      </c>
      <c r="J165" s="48"/>
      <c r="K165" s="48"/>
      <c r="L165" s="48"/>
      <c r="M165" s="48"/>
      <c r="N165" s="48">
        <v>470</v>
      </c>
      <c r="O165" s="48"/>
      <c r="P165" s="48"/>
      <c r="Q165" s="48"/>
      <c r="R165" s="48"/>
      <c r="S165" s="48"/>
      <c r="T165" s="48"/>
      <c r="U165" s="48"/>
      <c r="V165" s="48"/>
      <c r="W165" s="48"/>
    </row>
    <row r="166" ht="32.9" customHeight="true" spans="1:23">
      <c r="A166" s="18" t="s">
        <v>567</v>
      </c>
      <c r="B166" s="155" t="s">
        <v>651</v>
      </c>
      <c r="C166" s="18" t="s">
        <v>650</v>
      </c>
      <c r="D166" s="18" t="s">
        <v>67</v>
      </c>
      <c r="E166" s="18" t="s">
        <v>154</v>
      </c>
      <c r="F166" s="18" t="s">
        <v>569</v>
      </c>
      <c r="G166" s="18" t="s">
        <v>625</v>
      </c>
      <c r="H166" s="18" t="s">
        <v>626</v>
      </c>
      <c r="I166" s="48">
        <v>12160</v>
      </c>
      <c r="J166" s="48"/>
      <c r="K166" s="48"/>
      <c r="L166" s="48"/>
      <c r="M166" s="48"/>
      <c r="N166" s="48">
        <v>12160</v>
      </c>
      <c r="O166" s="48"/>
      <c r="P166" s="48"/>
      <c r="Q166" s="48"/>
      <c r="R166" s="48"/>
      <c r="S166" s="48"/>
      <c r="T166" s="48"/>
      <c r="U166" s="48"/>
      <c r="V166" s="48"/>
      <c r="W166" s="48"/>
    </row>
    <row r="167" ht="32.9" customHeight="true" spans="1:23">
      <c r="A167" s="18" t="s">
        <v>567</v>
      </c>
      <c r="B167" s="155" t="s">
        <v>651</v>
      </c>
      <c r="C167" s="18" t="s">
        <v>650</v>
      </c>
      <c r="D167" s="18" t="s">
        <v>67</v>
      </c>
      <c r="E167" s="18" t="s">
        <v>154</v>
      </c>
      <c r="F167" s="18" t="s">
        <v>569</v>
      </c>
      <c r="G167" s="18" t="s">
        <v>273</v>
      </c>
      <c r="H167" s="18" t="s">
        <v>274</v>
      </c>
      <c r="I167" s="48">
        <v>9530</v>
      </c>
      <c r="J167" s="48"/>
      <c r="K167" s="48"/>
      <c r="L167" s="48"/>
      <c r="M167" s="48"/>
      <c r="N167" s="48">
        <v>9530</v>
      </c>
      <c r="O167" s="48"/>
      <c r="P167" s="48"/>
      <c r="Q167" s="48"/>
      <c r="R167" s="48"/>
      <c r="S167" s="48"/>
      <c r="T167" s="48"/>
      <c r="U167" s="48"/>
      <c r="V167" s="48"/>
      <c r="W167" s="48"/>
    </row>
    <row r="168" ht="32.9" customHeight="true" spans="1:23">
      <c r="A168" s="18"/>
      <c r="B168" s="18"/>
      <c r="C168" s="18" t="s">
        <v>652</v>
      </c>
      <c r="D168" s="18"/>
      <c r="E168" s="18"/>
      <c r="F168" s="18"/>
      <c r="G168" s="18"/>
      <c r="H168" s="18"/>
      <c r="I168" s="48">
        <v>61238.3</v>
      </c>
      <c r="J168" s="48"/>
      <c r="K168" s="48"/>
      <c r="L168" s="48"/>
      <c r="M168" s="48"/>
      <c r="N168" s="48">
        <v>61238.3</v>
      </c>
      <c r="O168" s="48"/>
      <c r="P168" s="48"/>
      <c r="Q168" s="48"/>
      <c r="R168" s="48"/>
      <c r="S168" s="48"/>
      <c r="T168" s="48"/>
      <c r="U168" s="48"/>
      <c r="V168" s="48"/>
      <c r="W168" s="48"/>
    </row>
    <row r="169" ht="32.9" customHeight="true" spans="1:23">
      <c r="A169" s="18" t="s">
        <v>567</v>
      </c>
      <c r="B169" s="155" t="s">
        <v>653</v>
      </c>
      <c r="C169" s="18" t="s">
        <v>652</v>
      </c>
      <c r="D169" s="18" t="s">
        <v>67</v>
      </c>
      <c r="E169" s="18" t="s">
        <v>154</v>
      </c>
      <c r="F169" s="18" t="s">
        <v>569</v>
      </c>
      <c r="G169" s="18" t="s">
        <v>341</v>
      </c>
      <c r="H169" s="18" t="s">
        <v>342</v>
      </c>
      <c r="I169" s="48">
        <v>24000</v>
      </c>
      <c r="J169" s="48"/>
      <c r="K169" s="48"/>
      <c r="L169" s="48"/>
      <c r="M169" s="48"/>
      <c r="N169" s="48">
        <v>24000</v>
      </c>
      <c r="O169" s="48"/>
      <c r="P169" s="48"/>
      <c r="Q169" s="48"/>
      <c r="R169" s="48"/>
      <c r="S169" s="48"/>
      <c r="T169" s="48"/>
      <c r="U169" s="48"/>
      <c r="V169" s="48"/>
      <c r="W169" s="48"/>
    </row>
    <row r="170" ht="32.9" customHeight="true" spans="1:23">
      <c r="A170" s="18" t="s">
        <v>567</v>
      </c>
      <c r="B170" s="155" t="s">
        <v>653</v>
      </c>
      <c r="C170" s="18" t="s">
        <v>652</v>
      </c>
      <c r="D170" s="18" t="s">
        <v>67</v>
      </c>
      <c r="E170" s="18" t="s">
        <v>154</v>
      </c>
      <c r="F170" s="18" t="s">
        <v>569</v>
      </c>
      <c r="G170" s="18" t="s">
        <v>277</v>
      </c>
      <c r="H170" s="18" t="s">
        <v>278</v>
      </c>
      <c r="I170" s="48">
        <v>5000</v>
      </c>
      <c r="J170" s="48"/>
      <c r="K170" s="48"/>
      <c r="L170" s="48"/>
      <c r="M170" s="48"/>
      <c r="N170" s="48">
        <v>5000</v>
      </c>
      <c r="O170" s="48"/>
      <c r="P170" s="48"/>
      <c r="Q170" s="48"/>
      <c r="R170" s="48"/>
      <c r="S170" s="48"/>
      <c r="T170" s="48"/>
      <c r="U170" s="48"/>
      <c r="V170" s="48"/>
      <c r="W170" s="48"/>
    </row>
    <row r="171" ht="32.9" customHeight="true" spans="1:23">
      <c r="A171" s="18" t="s">
        <v>567</v>
      </c>
      <c r="B171" s="155" t="s">
        <v>653</v>
      </c>
      <c r="C171" s="18" t="s">
        <v>652</v>
      </c>
      <c r="D171" s="18" t="s">
        <v>67</v>
      </c>
      <c r="E171" s="18" t="s">
        <v>154</v>
      </c>
      <c r="F171" s="18" t="s">
        <v>569</v>
      </c>
      <c r="G171" s="18" t="s">
        <v>625</v>
      </c>
      <c r="H171" s="18" t="s">
        <v>626</v>
      </c>
      <c r="I171" s="48">
        <v>12238.3</v>
      </c>
      <c r="J171" s="48"/>
      <c r="K171" s="48"/>
      <c r="L171" s="48"/>
      <c r="M171" s="48"/>
      <c r="N171" s="48">
        <v>12238.3</v>
      </c>
      <c r="O171" s="48"/>
      <c r="P171" s="48"/>
      <c r="Q171" s="48"/>
      <c r="R171" s="48"/>
      <c r="S171" s="48"/>
      <c r="T171" s="48"/>
      <c r="U171" s="48"/>
      <c r="V171" s="48"/>
      <c r="W171" s="48"/>
    </row>
    <row r="172" ht="32.9" customHeight="true" spans="1:23">
      <c r="A172" s="18" t="s">
        <v>567</v>
      </c>
      <c r="B172" s="155" t="s">
        <v>653</v>
      </c>
      <c r="C172" s="18" t="s">
        <v>652</v>
      </c>
      <c r="D172" s="18" t="s">
        <v>67</v>
      </c>
      <c r="E172" s="18" t="s">
        <v>154</v>
      </c>
      <c r="F172" s="18" t="s">
        <v>569</v>
      </c>
      <c r="G172" s="18" t="s">
        <v>283</v>
      </c>
      <c r="H172" s="18" t="s">
        <v>284</v>
      </c>
      <c r="I172" s="48">
        <v>20000</v>
      </c>
      <c r="J172" s="48"/>
      <c r="K172" s="48"/>
      <c r="L172" s="48"/>
      <c r="M172" s="48"/>
      <c r="N172" s="48">
        <v>20000</v>
      </c>
      <c r="O172" s="48"/>
      <c r="P172" s="48"/>
      <c r="Q172" s="48"/>
      <c r="R172" s="48"/>
      <c r="S172" s="48"/>
      <c r="T172" s="48"/>
      <c r="U172" s="48"/>
      <c r="V172" s="48"/>
      <c r="W172" s="48"/>
    </row>
    <row r="173" ht="32.9" customHeight="true" spans="1:23">
      <c r="A173" s="18"/>
      <c r="B173" s="18"/>
      <c r="C173" s="18" t="s">
        <v>654</v>
      </c>
      <c r="D173" s="18"/>
      <c r="E173" s="18"/>
      <c r="F173" s="18"/>
      <c r="G173" s="18"/>
      <c r="H173" s="18"/>
      <c r="I173" s="48">
        <v>545000</v>
      </c>
      <c r="J173" s="48"/>
      <c r="K173" s="48"/>
      <c r="L173" s="48"/>
      <c r="M173" s="48"/>
      <c r="N173" s="48">
        <v>545000</v>
      </c>
      <c r="O173" s="48"/>
      <c r="P173" s="48"/>
      <c r="Q173" s="48"/>
      <c r="R173" s="48"/>
      <c r="S173" s="48"/>
      <c r="T173" s="48"/>
      <c r="U173" s="48"/>
      <c r="V173" s="48"/>
      <c r="W173" s="48"/>
    </row>
    <row r="174" ht="32.9" customHeight="true" spans="1:23">
      <c r="A174" s="18" t="s">
        <v>567</v>
      </c>
      <c r="B174" s="155" t="s">
        <v>655</v>
      </c>
      <c r="C174" s="18" t="s">
        <v>654</v>
      </c>
      <c r="D174" s="18" t="s">
        <v>67</v>
      </c>
      <c r="E174" s="18" t="s">
        <v>154</v>
      </c>
      <c r="F174" s="18" t="s">
        <v>569</v>
      </c>
      <c r="G174" s="18" t="s">
        <v>314</v>
      </c>
      <c r="H174" s="18" t="s">
        <v>315</v>
      </c>
      <c r="I174" s="48">
        <v>245000</v>
      </c>
      <c r="J174" s="48"/>
      <c r="K174" s="48"/>
      <c r="L174" s="48"/>
      <c r="M174" s="48"/>
      <c r="N174" s="48">
        <v>245000</v>
      </c>
      <c r="O174" s="48"/>
      <c r="P174" s="48"/>
      <c r="Q174" s="48"/>
      <c r="R174" s="48"/>
      <c r="S174" s="48"/>
      <c r="T174" s="48"/>
      <c r="U174" s="48"/>
      <c r="V174" s="48"/>
      <c r="W174" s="48"/>
    </row>
    <row r="175" ht="32.9" customHeight="true" spans="1:23">
      <c r="A175" s="18" t="s">
        <v>567</v>
      </c>
      <c r="B175" s="155" t="s">
        <v>655</v>
      </c>
      <c r="C175" s="18" t="s">
        <v>654</v>
      </c>
      <c r="D175" s="18" t="s">
        <v>67</v>
      </c>
      <c r="E175" s="18" t="s">
        <v>154</v>
      </c>
      <c r="F175" s="18" t="s">
        <v>569</v>
      </c>
      <c r="G175" s="18" t="s">
        <v>629</v>
      </c>
      <c r="H175" s="18" t="s">
        <v>630</v>
      </c>
      <c r="I175" s="48">
        <v>300000</v>
      </c>
      <c r="J175" s="48"/>
      <c r="K175" s="48"/>
      <c r="L175" s="48"/>
      <c r="M175" s="48"/>
      <c r="N175" s="48">
        <v>300000</v>
      </c>
      <c r="O175" s="48"/>
      <c r="P175" s="48"/>
      <c r="Q175" s="48"/>
      <c r="R175" s="48"/>
      <c r="S175" s="48"/>
      <c r="T175" s="48"/>
      <c r="U175" s="48"/>
      <c r="V175" s="48"/>
      <c r="W175" s="48"/>
    </row>
    <row r="176" ht="32.9" customHeight="true" spans="1:23">
      <c r="A176" s="18"/>
      <c r="B176" s="18"/>
      <c r="C176" s="18" t="s">
        <v>656</v>
      </c>
      <c r="D176" s="18"/>
      <c r="E176" s="18"/>
      <c r="F176" s="18"/>
      <c r="G176" s="18"/>
      <c r="H176" s="18"/>
      <c r="I176" s="48">
        <v>920000</v>
      </c>
      <c r="J176" s="48">
        <v>920000</v>
      </c>
      <c r="K176" s="48">
        <v>920000</v>
      </c>
      <c r="L176" s="48"/>
      <c r="M176" s="48"/>
      <c r="N176" s="48"/>
      <c r="O176" s="48"/>
      <c r="P176" s="48"/>
      <c r="Q176" s="48"/>
      <c r="R176" s="48"/>
      <c r="S176" s="48"/>
      <c r="T176" s="48"/>
      <c r="U176" s="48"/>
      <c r="V176" s="48"/>
      <c r="W176" s="48"/>
    </row>
    <row r="177" ht="32.9" customHeight="true" spans="1:23">
      <c r="A177" s="18" t="s">
        <v>567</v>
      </c>
      <c r="B177" s="155" t="s">
        <v>657</v>
      </c>
      <c r="C177" s="18" t="s">
        <v>656</v>
      </c>
      <c r="D177" s="18" t="s">
        <v>67</v>
      </c>
      <c r="E177" s="18" t="s">
        <v>142</v>
      </c>
      <c r="F177" s="18" t="s">
        <v>549</v>
      </c>
      <c r="G177" s="18" t="s">
        <v>277</v>
      </c>
      <c r="H177" s="18" t="s">
        <v>278</v>
      </c>
      <c r="I177" s="48">
        <v>35000</v>
      </c>
      <c r="J177" s="48">
        <v>35000</v>
      </c>
      <c r="K177" s="48">
        <v>35000</v>
      </c>
      <c r="L177" s="48"/>
      <c r="M177" s="48"/>
      <c r="N177" s="48"/>
      <c r="O177" s="48"/>
      <c r="P177" s="48"/>
      <c r="Q177" s="48"/>
      <c r="R177" s="48"/>
      <c r="S177" s="48"/>
      <c r="T177" s="48"/>
      <c r="U177" s="48"/>
      <c r="V177" s="48"/>
      <c r="W177" s="48"/>
    </row>
    <row r="178" ht="32.9" customHeight="true" spans="1:23">
      <c r="A178" s="18" t="s">
        <v>567</v>
      </c>
      <c r="B178" s="155" t="s">
        <v>657</v>
      </c>
      <c r="C178" s="18" t="s">
        <v>656</v>
      </c>
      <c r="D178" s="18" t="s">
        <v>67</v>
      </c>
      <c r="E178" s="18" t="s">
        <v>142</v>
      </c>
      <c r="F178" s="18" t="s">
        <v>549</v>
      </c>
      <c r="G178" s="18" t="s">
        <v>625</v>
      </c>
      <c r="H178" s="18" t="s">
        <v>626</v>
      </c>
      <c r="I178" s="48">
        <v>718000</v>
      </c>
      <c r="J178" s="48">
        <v>718000</v>
      </c>
      <c r="K178" s="48">
        <v>718000</v>
      </c>
      <c r="L178" s="48"/>
      <c r="M178" s="48"/>
      <c r="N178" s="48"/>
      <c r="O178" s="48"/>
      <c r="P178" s="48"/>
      <c r="Q178" s="48"/>
      <c r="R178" s="48"/>
      <c r="S178" s="48"/>
      <c r="T178" s="48"/>
      <c r="U178" s="48"/>
      <c r="V178" s="48"/>
      <c r="W178" s="48"/>
    </row>
    <row r="179" ht="32.9" customHeight="true" spans="1:23">
      <c r="A179" s="18" t="s">
        <v>567</v>
      </c>
      <c r="B179" s="155" t="s">
        <v>657</v>
      </c>
      <c r="C179" s="18" t="s">
        <v>656</v>
      </c>
      <c r="D179" s="18" t="s">
        <v>67</v>
      </c>
      <c r="E179" s="18" t="s">
        <v>142</v>
      </c>
      <c r="F179" s="18" t="s">
        <v>549</v>
      </c>
      <c r="G179" s="18" t="s">
        <v>273</v>
      </c>
      <c r="H179" s="18" t="s">
        <v>274</v>
      </c>
      <c r="I179" s="48">
        <v>92000</v>
      </c>
      <c r="J179" s="48">
        <v>92000</v>
      </c>
      <c r="K179" s="48">
        <v>92000</v>
      </c>
      <c r="L179" s="48"/>
      <c r="M179" s="48"/>
      <c r="N179" s="48"/>
      <c r="O179" s="48"/>
      <c r="P179" s="48"/>
      <c r="Q179" s="48"/>
      <c r="R179" s="48"/>
      <c r="S179" s="48"/>
      <c r="T179" s="48"/>
      <c r="U179" s="48"/>
      <c r="V179" s="48"/>
      <c r="W179" s="48"/>
    </row>
    <row r="180" ht="32.9" customHeight="true" spans="1:23">
      <c r="A180" s="18" t="s">
        <v>567</v>
      </c>
      <c r="B180" s="155" t="s">
        <v>657</v>
      </c>
      <c r="C180" s="18" t="s">
        <v>656</v>
      </c>
      <c r="D180" s="18" t="s">
        <v>67</v>
      </c>
      <c r="E180" s="18" t="s">
        <v>142</v>
      </c>
      <c r="F180" s="18" t="s">
        <v>549</v>
      </c>
      <c r="G180" s="18" t="s">
        <v>287</v>
      </c>
      <c r="H180" s="18" t="s">
        <v>288</v>
      </c>
      <c r="I180" s="48">
        <v>75000</v>
      </c>
      <c r="J180" s="48">
        <v>75000</v>
      </c>
      <c r="K180" s="48">
        <v>75000</v>
      </c>
      <c r="L180" s="48"/>
      <c r="M180" s="48"/>
      <c r="N180" s="48"/>
      <c r="O180" s="48"/>
      <c r="P180" s="48"/>
      <c r="Q180" s="48"/>
      <c r="R180" s="48"/>
      <c r="S180" s="48"/>
      <c r="T180" s="48"/>
      <c r="U180" s="48"/>
      <c r="V180" s="48"/>
      <c r="W180" s="48"/>
    </row>
    <row r="181" ht="32.9" customHeight="true" spans="1:23">
      <c r="A181" s="18"/>
      <c r="B181" s="18"/>
      <c r="C181" s="18" t="s">
        <v>658</v>
      </c>
      <c r="D181" s="18"/>
      <c r="E181" s="18"/>
      <c r="F181" s="18"/>
      <c r="G181" s="18"/>
      <c r="H181" s="18"/>
      <c r="I181" s="48">
        <v>1660000</v>
      </c>
      <c r="J181" s="48"/>
      <c r="K181" s="48"/>
      <c r="L181" s="48"/>
      <c r="M181" s="48"/>
      <c r="N181" s="48"/>
      <c r="O181" s="48"/>
      <c r="P181" s="48"/>
      <c r="Q181" s="48"/>
      <c r="R181" s="48">
        <v>1660000</v>
      </c>
      <c r="S181" s="48">
        <v>1660000</v>
      </c>
      <c r="T181" s="48"/>
      <c r="U181" s="48"/>
      <c r="V181" s="48"/>
      <c r="W181" s="48"/>
    </row>
    <row r="182" ht="32.9" customHeight="true" spans="1:23">
      <c r="A182" s="18" t="s">
        <v>559</v>
      </c>
      <c r="B182" s="155" t="s">
        <v>659</v>
      </c>
      <c r="C182" s="18" t="s">
        <v>658</v>
      </c>
      <c r="D182" s="18" t="s">
        <v>67</v>
      </c>
      <c r="E182" s="18" t="s">
        <v>136</v>
      </c>
      <c r="F182" s="18" t="s">
        <v>333</v>
      </c>
      <c r="G182" s="18" t="s">
        <v>275</v>
      </c>
      <c r="H182" s="18" t="s">
        <v>276</v>
      </c>
      <c r="I182" s="48">
        <v>100000</v>
      </c>
      <c r="J182" s="48"/>
      <c r="K182" s="48"/>
      <c r="L182" s="48"/>
      <c r="M182" s="48"/>
      <c r="N182" s="48"/>
      <c r="O182" s="48"/>
      <c r="P182" s="48"/>
      <c r="Q182" s="48"/>
      <c r="R182" s="48">
        <v>100000</v>
      </c>
      <c r="S182" s="48">
        <v>100000</v>
      </c>
      <c r="T182" s="48"/>
      <c r="U182" s="48"/>
      <c r="V182" s="48"/>
      <c r="W182" s="48"/>
    </row>
    <row r="183" ht="32.9" customHeight="true" spans="1:23">
      <c r="A183" s="18" t="s">
        <v>559</v>
      </c>
      <c r="B183" s="155" t="s">
        <v>659</v>
      </c>
      <c r="C183" s="18" t="s">
        <v>658</v>
      </c>
      <c r="D183" s="18" t="s">
        <v>67</v>
      </c>
      <c r="E183" s="18" t="s">
        <v>136</v>
      </c>
      <c r="F183" s="18" t="s">
        <v>333</v>
      </c>
      <c r="G183" s="18" t="s">
        <v>277</v>
      </c>
      <c r="H183" s="18" t="s">
        <v>278</v>
      </c>
      <c r="I183" s="48">
        <v>100000</v>
      </c>
      <c r="J183" s="48"/>
      <c r="K183" s="48"/>
      <c r="L183" s="48"/>
      <c r="M183" s="48"/>
      <c r="N183" s="48"/>
      <c r="O183" s="48"/>
      <c r="P183" s="48"/>
      <c r="Q183" s="48"/>
      <c r="R183" s="48">
        <v>100000</v>
      </c>
      <c r="S183" s="48">
        <v>100000</v>
      </c>
      <c r="T183" s="48"/>
      <c r="U183" s="48"/>
      <c r="V183" s="48"/>
      <c r="W183" s="48"/>
    </row>
    <row r="184" ht="32.9" customHeight="true" spans="1:23">
      <c r="A184" s="18" t="s">
        <v>559</v>
      </c>
      <c r="B184" s="155" t="s">
        <v>659</v>
      </c>
      <c r="C184" s="18" t="s">
        <v>658</v>
      </c>
      <c r="D184" s="18" t="s">
        <v>67</v>
      </c>
      <c r="E184" s="18" t="s">
        <v>136</v>
      </c>
      <c r="F184" s="18" t="s">
        <v>333</v>
      </c>
      <c r="G184" s="18" t="s">
        <v>314</v>
      </c>
      <c r="H184" s="18" t="s">
        <v>315</v>
      </c>
      <c r="I184" s="48">
        <v>500000</v>
      </c>
      <c r="J184" s="48"/>
      <c r="K184" s="48"/>
      <c r="L184" s="48"/>
      <c r="M184" s="48"/>
      <c r="N184" s="48"/>
      <c r="O184" s="48"/>
      <c r="P184" s="48"/>
      <c r="Q184" s="48"/>
      <c r="R184" s="48">
        <v>500000</v>
      </c>
      <c r="S184" s="48">
        <v>500000</v>
      </c>
      <c r="T184" s="48"/>
      <c r="U184" s="48"/>
      <c r="V184" s="48"/>
      <c r="W184" s="48"/>
    </row>
    <row r="185" ht="32.9" customHeight="true" spans="1:23">
      <c r="A185" s="18" t="s">
        <v>559</v>
      </c>
      <c r="B185" s="155" t="s">
        <v>659</v>
      </c>
      <c r="C185" s="18" t="s">
        <v>658</v>
      </c>
      <c r="D185" s="18" t="s">
        <v>67</v>
      </c>
      <c r="E185" s="18" t="s">
        <v>136</v>
      </c>
      <c r="F185" s="18" t="s">
        <v>333</v>
      </c>
      <c r="G185" s="18" t="s">
        <v>279</v>
      </c>
      <c r="H185" s="18" t="s">
        <v>280</v>
      </c>
      <c r="I185" s="48">
        <v>110000</v>
      </c>
      <c r="J185" s="48"/>
      <c r="K185" s="48"/>
      <c r="L185" s="48"/>
      <c r="M185" s="48"/>
      <c r="N185" s="48"/>
      <c r="O185" s="48"/>
      <c r="P185" s="48"/>
      <c r="Q185" s="48"/>
      <c r="R185" s="48">
        <v>110000</v>
      </c>
      <c r="S185" s="48">
        <v>110000</v>
      </c>
      <c r="T185" s="48"/>
      <c r="U185" s="48"/>
      <c r="V185" s="48"/>
      <c r="W185" s="48"/>
    </row>
    <row r="186" ht="32.9" customHeight="true" spans="1:23">
      <c r="A186" s="18" t="s">
        <v>559</v>
      </c>
      <c r="B186" s="155" t="s">
        <v>659</v>
      </c>
      <c r="C186" s="18" t="s">
        <v>658</v>
      </c>
      <c r="D186" s="18" t="s">
        <v>67</v>
      </c>
      <c r="E186" s="18" t="s">
        <v>136</v>
      </c>
      <c r="F186" s="18" t="s">
        <v>333</v>
      </c>
      <c r="G186" s="18" t="s">
        <v>281</v>
      </c>
      <c r="H186" s="18" t="s">
        <v>282</v>
      </c>
      <c r="I186" s="48">
        <v>150000</v>
      </c>
      <c r="J186" s="48"/>
      <c r="K186" s="48"/>
      <c r="L186" s="48"/>
      <c r="M186" s="48"/>
      <c r="N186" s="48"/>
      <c r="O186" s="48"/>
      <c r="P186" s="48"/>
      <c r="Q186" s="48"/>
      <c r="R186" s="48">
        <v>150000</v>
      </c>
      <c r="S186" s="48">
        <v>150000</v>
      </c>
      <c r="T186" s="48"/>
      <c r="U186" s="48"/>
      <c r="V186" s="48"/>
      <c r="W186" s="48"/>
    </row>
    <row r="187" ht="32.9" customHeight="true" spans="1:23">
      <c r="A187" s="18" t="s">
        <v>559</v>
      </c>
      <c r="B187" s="155" t="s">
        <v>659</v>
      </c>
      <c r="C187" s="18" t="s">
        <v>658</v>
      </c>
      <c r="D187" s="18" t="s">
        <v>67</v>
      </c>
      <c r="E187" s="18" t="s">
        <v>136</v>
      </c>
      <c r="F187" s="18" t="s">
        <v>333</v>
      </c>
      <c r="G187" s="18" t="s">
        <v>625</v>
      </c>
      <c r="H187" s="18" t="s">
        <v>626</v>
      </c>
      <c r="I187" s="48">
        <v>100000</v>
      </c>
      <c r="J187" s="48"/>
      <c r="K187" s="48"/>
      <c r="L187" s="48"/>
      <c r="M187" s="48"/>
      <c r="N187" s="48"/>
      <c r="O187" s="48"/>
      <c r="P187" s="48"/>
      <c r="Q187" s="48"/>
      <c r="R187" s="48">
        <v>100000</v>
      </c>
      <c r="S187" s="48">
        <v>100000</v>
      </c>
      <c r="T187" s="48"/>
      <c r="U187" s="48"/>
      <c r="V187" s="48"/>
      <c r="W187" s="48"/>
    </row>
    <row r="188" ht="32.9" customHeight="true" spans="1:23">
      <c r="A188" s="18" t="s">
        <v>559</v>
      </c>
      <c r="B188" s="155" t="s">
        <v>659</v>
      </c>
      <c r="C188" s="18" t="s">
        <v>658</v>
      </c>
      <c r="D188" s="18" t="s">
        <v>67</v>
      </c>
      <c r="E188" s="18" t="s">
        <v>136</v>
      </c>
      <c r="F188" s="18" t="s">
        <v>333</v>
      </c>
      <c r="G188" s="18" t="s">
        <v>316</v>
      </c>
      <c r="H188" s="18" t="s">
        <v>317</v>
      </c>
      <c r="I188" s="48">
        <v>200000</v>
      </c>
      <c r="J188" s="48"/>
      <c r="K188" s="48"/>
      <c r="L188" s="48"/>
      <c r="M188" s="48"/>
      <c r="N188" s="48"/>
      <c r="O188" s="48"/>
      <c r="P188" s="48"/>
      <c r="Q188" s="48"/>
      <c r="R188" s="48">
        <v>200000</v>
      </c>
      <c r="S188" s="48">
        <v>200000</v>
      </c>
      <c r="T188" s="48"/>
      <c r="U188" s="48"/>
      <c r="V188" s="48"/>
      <c r="W188" s="48"/>
    </row>
    <row r="189" ht="32.9" customHeight="true" spans="1:23">
      <c r="A189" s="18" t="s">
        <v>559</v>
      </c>
      <c r="B189" s="155" t="s">
        <v>659</v>
      </c>
      <c r="C189" s="18" t="s">
        <v>658</v>
      </c>
      <c r="D189" s="18" t="s">
        <v>67</v>
      </c>
      <c r="E189" s="18" t="s">
        <v>136</v>
      </c>
      <c r="F189" s="18" t="s">
        <v>333</v>
      </c>
      <c r="G189" s="18" t="s">
        <v>283</v>
      </c>
      <c r="H189" s="18" t="s">
        <v>284</v>
      </c>
      <c r="I189" s="48">
        <v>200000</v>
      </c>
      <c r="J189" s="48"/>
      <c r="K189" s="48"/>
      <c r="L189" s="48"/>
      <c r="M189" s="48"/>
      <c r="N189" s="48"/>
      <c r="O189" s="48"/>
      <c r="P189" s="48"/>
      <c r="Q189" s="48"/>
      <c r="R189" s="48">
        <v>200000</v>
      </c>
      <c r="S189" s="48">
        <v>200000</v>
      </c>
      <c r="T189" s="48"/>
      <c r="U189" s="48"/>
      <c r="V189" s="48"/>
      <c r="W189" s="48"/>
    </row>
    <row r="190" ht="32.9" customHeight="true" spans="1:23">
      <c r="A190" s="18" t="s">
        <v>559</v>
      </c>
      <c r="B190" s="155" t="s">
        <v>659</v>
      </c>
      <c r="C190" s="18" t="s">
        <v>658</v>
      </c>
      <c r="D190" s="18" t="s">
        <v>67</v>
      </c>
      <c r="E190" s="18" t="s">
        <v>136</v>
      </c>
      <c r="F190" s="18" t="s">
        <v>333</v>
      </c>
      <c r="G190" s="18" t="s">
        <v>273</v>
      </c>
      <c r="H190" s="18" t="s">
        <v>274</v>
      </c>
      <c r="I190" s="48">
        <v>100000</v>
      </c>
      <c r="J190" s="48"/>
      <c r="K190" s="48"/>
      <c r="L190" s="48"/>
      <c r="M190" s="48"/>
      <c r="N190" s="48"/>
      <c r="O190" s="48"/>
      <c r="P190" s="48"/>
      <c r="Q190" s="48"/>
      <c r="R190" s="48">
        <v>100000</v>
      </c>
      <c r="S190" s="48">
        <v>100000</v>
      </c>
      <c r="T190" s="48"/>
      <c r="U190" s="48"/>
      <c r="V190" s="48"/>
      <c r="W190" s="48"/>
    </row>
    <row r="191" ht="32.9" customHeight="true" spans="1:23">
      <c r="A191" s="18" t="s">
        <v>559</v>
      </c>
      <c r="B191" s="155" t="s">
        <v>659</v>
      </c>
      <c r="C191" s="18" t="s">
        <v>658</v>
      </c>
      <c r="D191" s="18" t="s">
        <v>67</v>
      </c>
      <c r="E191" s="18" t="s">
        <v>136</v>
      </c>
      <c r="F191" s="18" t="s">
        <v>333</v>
      </c>
      <c r="G191" s="18" t="s">
        <v>287</v>
      </c>
      <c r="H191" s="18" t="s">
        <v>288</v>
      </c>
      <c r="I191" s="48">
        <v>100000</v>
      </c>
      <c r="J191" s="48"/>
      <c r="K191" s="48"/>
      <c r="L191" s="48"/>
      <c r="M191" s="48"/>
      <c r="N191" s="48"/>
      <c r="O191" s="48"/>
      <c r="P191" s="48"/>
      <c r="Q191" s="48"/>
      <c r="R191" s="48">
        <v>100000</v>
      </c>
      <c r="S191" s="48">
        <v>100000</v>
      </c>
      <c r="T191" s="48"/>
      <c r="U191" s="48"/>
      <c r="V191" s="48"/>
      <c r="W191" s="48"/>
    </row>
    <row r="192" ht="32.9" customHeight="true" spans="1:23">
      <c r="A192" s="18"/>
      <c r="B192" s="18"/>
      <c r="C192" s="18" t="s">
        <v>660</v>
      </c>
      <c r="D192" s="18"/>
      <c r="E192" s="18"/>
      <c r="F192" s="18"/>
      <c r="G192" s="18"/>
      <c r="H192" s="18"/>
      <c r="I192" s="48">
        <v>113200.99</v>
      </c>
      <c r="J192" s="48"/>
      <c r="K192" s="48"/>
      <c r="L192" s="48"/>
      <c r="M192" s="48"/>
      <c r="N192" s="48">
        <v>113200.99</v>
      </c>
      <c r="O192" s="48"/>
      <c r="P192" s="48"/>
      <c r="Q192" s="48"/>
      <c r="R192" s="48"/>
      <c r="S192" s="48"/>
      <c r="T192" s="48"/>
      <c r="U192" s="48"/>
      <c r="V192" s="48"/>
      <c r="W192" s="48"/>
    </row>
    <row r="193" ht="32.9" customHeight="true" spans="1:23">
      <c r="A193" s="18" t="s">
        <v>538</v>
      </c>
      <c r="B193" s="155" t="s">
        <v>661</v>
      </c>
      <c r="C193" s="18" t="s">
        <v>660</v>
      </c>
      <c r="D193" s="18" t="s">
        <v>69</v>
      </c>
      <c r="E193" s="18" t="s">
        <v>138</v>
      </c>
      <c r="F193" s="18" t="s">
        <v>357</v>
      </c>
      <c r="G193" s="18" t="s">
        <v>277</v>
      </c>
      <c r="H193" s="18" t="s">
        <v>278</v>
      </c>
      <c r="I193" s="48">
        <v>30000</v>
      </c>
      <c r="J193" s="48"/>
      <c r="K193" s="48"/>
      <c r="L193" s="48"/>
      <c r="M193" s="48"/>
      <c r="N193" s="48">
        <v>30000</v>
      </c>
      <c r="O193" s="48"/>
      <c r="P193" s="48"/>
      <c r="Q193" s="48"/>
      <c r="R193" s="48"/>
      <c r="S193" s="48"/>
      <c r="T193" s="48"/>
      <c r="U193" s="48"/>
      <c r="V193" s="48"/>
      <c r="W193" s="48"/>
    </row>
    <row r="194" ht="32.9" customHeight="true" spans="1:23">
      <c r="A194" s="18" t="s">
        <v>538</v>
      </c>
      <c r="B194" s="155" t="s">
        <v>661</v>
      </c>
      <c r="C194" s="18" t="s">
        <v>660</v>
      </c>
      <c r="D194" s="18" t="s">
        <v>69</v>
      </c>
      <c r="E194" s="18" t="s">
        <v>138</v>
      </c>
      <c r="F194" s="18" t="s">
        <v>357</v>
      </c>
      <c r="G194" s="18" t="s">
        <v>279</v>
      </c>
      <c r="H194" s="18" t="s">
        <v>280</v>
      </c>
      <c r="I194" s="48">
        <v>12078</v>
      </c>
      <c r="J194" s="48"/>
      <c r="K194" s="48"/>
      <c r="L194" s="48"/>
      <c r="M194" s="48"/>
      <c r="N194" s="48">
        <v>12078</v>
      </c>
      <c r="O194" s="48"/>
      <c r="P194" s="48"/>
      <c r="Q194" s="48"/>
      <c r="R194" s="48"/>
      <c r="S194" s="48"/>
      <c r="T194" s="48"/>
      <c r="U194" s="48"/>
      <c r="V194" s="48"/>
      <c r="W194" s="48"/>
    </row>
    <row r="195" ht="32.9" customHeight="true" spans="1:23">
      <c r="A195" s="18" t="s">
        <v>538</v>
      </c>
      <c r="B195" s="155" t="s">
        <v>661</v>
      </c>
      <c r="C195" s="18" t="s">
        <v>660</v>
      </c>
      <c r="D195" s="18" t="s">
        <v>69</v>
      </c>
      <c r="E195" s="18" t="s">
        <v>138</v>
      </c>
      <c r="F195" s="18" t="s">
        <v>357</v>
      </c>
      <c r="G195" s="18" t="s">
        <v>281</v>
      </c>
      <c r="H195" s="18" t="s">
        <v>282</v>
      </c>
      <c r="I195" s="48">
        <v>3018.99</v>
      </c>
      <c r="J195" s="48"/>
      <c r="K195" s="48"/>
      <c r="L195" s="48"/>
      <c r="M195" s="48"/>
      <c r="N195" s="48">
        <v>3018.99</v>
      </c>
      <c r="O195" s="48"/>
      <c r="P195" s="48"/>
      <c r="Q195" s="48"/>
      <c r="R195" s="48"/>
      <c r="S195" s="48"/>
      <c r="T195" s="48"/>
      <c r="U195" s="48"/>
      <c r="V195" s="48"/>
      <c r="W195" s="48"/>
    </row>
    <row r="196" ht="32.9" customHeight="true" spans="1:23">
      <c r="A196" s="18" t="s">
        <v>538</v>
      </c>
      <c r="B196" s="155" t="s">
        <v>661</v>
      </c>
      <c r="C196" s="18" t="s">
        <v>660</v>
      </c>
      <c r="D196" s="18" t="s">
        <v>69</v>
      </c>
      <c r="E196" s="18" t="s">
        <v>138</v>
      </c>
      <c r="F196" s="18" t="s">
        <v>357</v>
      </c>
      <c r="G196" s="18" t="s">
        <v>316</v>
      </c>
      <c r="H196" s="18" t="s">
        <v>317</v>
      </c>
      <c r="I196" s="48">
        <v>46000</v>
      </c>
      <c r="J196" s="48"/>
      <c r="K196" s="48"/>
      <c r="L196" s="48"/>
      <c r="M196" s="48"/>
      <c r="N196" s="48">
        <v>46000</v>
      </c>
      <c r="O196" s="48"/>
      <c r="P196" s="48"/>
      <c r="Q196" s="48"/>
      <c r="R196" s="48"/>
      <c r="S196" s="48"/>
      <c r="T196" s="48"/>
      <c r="U196" s="48"/>
      <c r="V196" s="48"/>
      <c r="W196" s="48"/>
    </row>
    <row r="197" ht="32.9" customHeight="true" spans="1:23">
      <c r="A197" s="18" t="s">
        <v>538</v>
      </c>
      <c r="B197" s="155" t="s">
        <v>661</v>
      </c>
      <c r="C197" s="18" t="s">
        <v>660</v>
      </c>
      <c r="D197" s="18" t="s">
        <v>69</v>
      </c>
      <c r="E197" s="18" t="s">
        <v>138</v>
      </c>
      <c r="F197" s="18" t="s">
        <v>357</v>
      </c>
      <c r="G197" s="18" t="s">
        <v>273</v>
      </c>
      <c r="H197" s="18" t="s">
        <v>274</v>
      </c>
      <c r="I197" s="48">
        <v>22104</v>
      </c>
      <c r="J197" s="48"/>
      <c r="K197" s="48"/>
      <c r="L197" s="48"/>
      <c r="M197" s="48"/>
      <c r="N197" s="48">
        <v>22104</v>
      </c>
      <c r="O197" s="48"/>
      <c r="P197" s="48"/>
      <c r="Q197" s="48"/>
      <c r="R197" s="48"/>
      <c r="S197" s="48"/>
      <c r="T197" s="48"/>
      <c r="U197" s="48"/>
      <c r="V197" s="48"/>
      <c r="W197" s="48"/>
    </row>
    <row r="198" ht="32.9" customHeight="true" spans="1:23">
      <c r="A198" s="18"/>
      <c r="B198" s="18"/>
      <c r="C198" s="18" t="s">
        <v>662</v>
      </c>
      <c r="D198" s="18"/>
      <c r="E198" s="18"/>
      <c r="F198" s="18"/>
      <c r="G198" s="18"/>
      <c r="H198" s="18"/>
      <c r="I198" s="48">
        <v>1456.65</v>
      </c>
      <c r="J198" s="48"/>
      <c r="K198" s="48"/>
      <c r="L198" s="48"/>
      <c r="M198" s="48"/>
      <c r="N198" s="48">
        <v>1456.65</v>
      </c>
      <c r="O198" s="48"/>
      <c r="P198" s="48"/>
      <c r="Q198" s="48"/>
      <c r="R198" s="48"/>
      <c r="S198" s="48"/>
      <c r="T198" s="48"/>
      <c r="U198" s="48"/>
      <c r="V198" s="48"/>
      <c r="W198" s="48"/>
    </row>
    <row r="199" ht="32.9" customHeight="true" spans="1:23">
      <c r="A199" s="18" t="s">
        <v>567</v>
      </c>
      <c r="B199" s="155" t="s">
        <v>663</v>
      </c>
      <c r="C199" s="18" t="s">
        <v>662</v>
      </c>
      <c r="D199" s="18" t="s">
        <v>69</v>
      </c>
      <c r="E199" s="18" t="s">
        <v>141</v>
      </c>
      <c r="F199" s="18" t="s">
        <v>555</v>
      </c>
      <c r="G199" s="18" t="s">
        <v>277</v>
      </c>
      <c r="H199" s="18" t="s">
        <v>278</v>
      </c>
      <c r="I199" s="48">
        <v>76</v>
      </c>
      <c r="J199" s="48"/>
      <c r="K199" s="48"/>
      <c r="L199" s="48"/>
      <c r="M199" s="48"/>
      <c r="N199" s="48">
        <v>76</v>
      </c>
      <c r="O199" s="48"/>
      <c r="P199" s="48"/>
      <c r="Q199" s="48"/>
      <c r="R199" s="48"/>
      <c r="S199" s="48"/>
      <c r="T199" s="48"/>
      <c r="U199" s="48"/>
      <c r="V199" s="48"/>
      <c r="W199" s="48"/>
    </row>
    <row r="200" ht="32.9" customHeight="true" spans="1:23">
      <c r="A200" s="18" t="s">
        <v>567</v>
      </c>
      <c r="B200" s="155" t="s">
        <v>663</v>
      </c>
      <c r="C200" s="18" t="s">
        <v>662</v>
      </c>
      <c r="D200" s="18" t="s">
        <v>69</v>
      </c>
      <c r="E200" s="18" t="s">
        <v>141</v>
      </c>
      <c r="F200" s="18" t="s">
        <v>555</v>
      </c>
      <c r="G200" s="18" t="s">
        <v>281</v>
      </c>
      <c r="H200" s="18" t="s">
        <v>282</v>
      </c>
      <c r="I200" s="48">
        <v>1380.65</v>
      </c>
      <c r="J200" s="48"/>
      <c r="K200" s="48"/>
      <c r="L200" s="48"/>
      <c r="M200" s="48"/>
      <c r="N200" s="48">
        <v>1380.65</v>
      </c>
      <c r="O200" s="48"/>
      <c r="P200" s="48"/>
      <c r="Q200" s="48"/>
      <c r="R200" s="48"/>
      <c r="S200" s="48"/>
      <c r="T200" s="48"/>
      <c r="U200" s="48"/>
      <c r="V200" s="48"/>
      <c r="W200" s="48"/>
    </row>
    <row r="201" ht="32.9" customHeight="true" spans="1:23">
      <c r="A201" s="18"/>
      <c r="B201" s="18"/>
      <c r="C201" s="18" t="s">
        <v>664</v>
      </c>
      <c r="D201" s="18"/>
      <c r="E201" s="18"/>
      <c r="F201" s="18"/>
      <c r="G201" s="18"/>
      <c r="H201" s="18"/>
      <c r="I201" s="48">
        <v>341846</v>
      </c>
      <c r="J201" s="48"/>
      <c r="K201" s="48"/>
      <c r="L201" s="48"/>
      <c r="M201" s="48"/>
      <c r="N201" s="48">
        <v>341846</v>
      </c>
      <c r="O201" s="48"/>
      <c r="P201" s="48"/>
      <c r="Q201" s="48"/>
      <c r="R201" s="48"/>
      <c r="S201" s="48"/>
      <c r="T201" s="48"/>
      <c r="U201" s="48"/>
      <c r="V201" s="48"/>
      <c r="W201" s="48"/>
    </row>
    <row r="202" ht="32.9" customHeight="true" spans="1:23">
      <c r="A202" s="18" t="s">
        <v>567</v>
      </c>
      <c r="B202" s="155" t="s">
        <v>665</v>
      </c>
      <c r="C202" s="18" t="s">
        <v>664</v>
      </c>
      <c r="D202" s="18" t="s">
        <v>69</v>
      </c>
      <c r="E202" s="18" t="s">
        <v>154</v>
      </c>
      <c r="F202" s="18" t="s">
        <v>569</v>
      </c>
      <c r="G202" s="18" t="s">
        <v>279</v>
      </c>
      <c r="H202" s="18" t="s">
        <v>280</v>
      </c>
      <c r="I202" s="48">
        <v>1710</v>
      </c>
      <c r="J202" s="48"/>
      <c r="K202" s="48"/>
      <c r="L202" s="48"/>
      <c r="M202" s="48"/>
      <c r="N202" s="48">
        <v>1710</v>
      </c>
      <c r="O202" s="48"/>
      <c r="P202" s="48"/>
      <c r="Q202" s="48"/>
      <c r="R202" s="48"/>
      <c r="S202" s="48"/>
      <c r="T202" s="48"/>
      <c r="U202" s="48"/>
      <c r="V202" s="48"/>
      <c r="W202" s="48"/>
    </row>
    <row r="203" ht="32.9" customHeight="true" spans="1:23">
      <c r="A203" s="18" t="s">
        <v>567</v>
      </c>
      <c r="B203" s="155" t="s">
        <v>665</v>
      </c>
      <c r="C203" s="18" t="s">
        <v>664</v>
      </c>
      <c r="D203" s="18" t="s">
        <v>69</v>
      </c>
      <c r="E203" s="18" t="s">
        <v>154</v>
      </c>
      <c r="F203" s="18" t="s">
        <v>569</v>
      </c>
      <c r="G203" s="18" t="s">
        <v>281</v>
      </c>
      <c r="H203" s="18" t="s">
        <v>282</v>
      </c>
      <c r="I203" s="48">
        <v>41074</v>
      </c>
      <c r="J203" s="48"/>
      <c r="K203" s="48"/>
      <c r="L203" s="48"/>
      <c r="M203" s="48"/>
      <c r="N203" s="48">
        <v>41074</v>
      </c>
      <c r="O203" s="48"/>
      <c r="P203" s="48"/>
      <c r="Q203" s="48"/>
      <c r="R203" s="48"/>
      <c r="S203" s="48"/>
      <c r="T203" s="48"/>
      <c r="U203" s="48"/>
      <c r="V203" s="48"/>
      <c r="W203" s="48"/>
    </row>
    <row r="204" ht="32.9" customHeight="true" spans="1:23">
      <c r="A204" s="18" t="s">
        <v>567</v>
      </c>
      <c r="B204" s="155" t="s">
        <v>665</v>
      </c>
      <c r="C204" s="18" t="s">
        <v>664</v>
      </c>
      <c r="D204" s="18" t="s">
        <v>69</v>
      </c>
      <c r="E204" s="18" t="s">
        <v>154</v>
      </c>
      <c r="F204" s="18" t="s">
        <v>569</v>
      </c>
      <c r="G204" s="18" t="s">
        <v>625</v>
      </c>
      <c r="H204" s="18" t="s">
        <v>626</v>
      </c>
      <c r="I204" s="48">
        <v>299012</v>
      </c>
      <c r="J204" s="48"/>
      <c r="K204" s="48"/>
      <c r="L204" s="48"/>
      <c r="M204" s="48"/>
      <c r="N204" s="48">
        <v>299012</v>
      </c>
      <c r="O204" s="48"/>
      <c r="P204" s="48"/>
      <c r="Q204" s="48"/>
      <c r="R204" s="48"/>
      <c r="S204" s="48"/>
      <c r="T204" s="48"/>
      <c r="U204" s="48"/>
      <c r="V204" s="48"/>
      <c r="W204" s="48"/>
    </row>
    <row r="205" ht="32.9" customHeight="true" spans="1:23">
      <c r="A205" s="18" t="s">
        <v>567</v>
      </c>
      <c r="B205" s="155" t="s">
        <v>665</v>
      </c>
      <c r="C205" s="18" t="s">
        <v>664</v>
      </c>
      <c r="D205" s="18" t="s">
        <v>69</v>
      </c>
      <c r="E205" s="18" t="s">
        <v>154</v>
      </c>
      <c r="F205" s="18" t="s">
        <v>569</v>
      </c>
      <c r="G205" s="18" t="s">
        <v>239</v>
      </c>
      <c r="H205" s="18" t="s">
        <v>240</v>
      </c>
      <c r="I205" s="48">
        <v>50</v>
      </c>
      <c r="J205" s="48"/>
      <c r="K205" s="48"/>
      <c r="L205" s="48"/>
      <c r="M205" s="48"/>
      <c r="N205" s="48">
        <v>50</v>
      </c>
      <c r="O205" s="48"/>
      <c r="P205" s="48"/>
      <c r="Q205" s="48"/>
      <c r="R205" s="48"/>
      <c r="S205" s="48"/>
      <c r="T205" s="48"/>
      <c r="U205" s="48"/>
      <c r="V205" s="48"/>
      <c r="W205" s="48"/>
    </row>
    <row r="206" ht="32.9" customHeight="true" spans="1:23">
      <c r="A206" s="18"/>
      <c r="B206" s="18"/>
      <c r="C206" s="18" t="s">
        <v>666</v>
      </c>
      <c r="D206" s="18"/>
      <c r="E206" s="18"/>
      <c r="F206" s="18"/>
      <c r="G206" s="18"/>
      <c r="H206" s="18"/>
      <c r="I206" s="48">
        <v>41547000</v>
      </c>
      <c r="J206" s="48"/>
      <c r="K206" s="48"/>
      <c r="L206" s="48"/>
      <c r="M206" s="48"/>
      <c r="N206" s="48"/>
      <c r="O206" s="48"/>
      <c r="P206" s="48"/>
      <c r="Q206" s="48"/>
      <c r="R206" s="48">
        <v>41547000</v>
      </c>
      <c r="S206" s="48">
        <v>41547000</v>
      </c>
      <c r="T206" s="48"/>
      <c r="U206" s="48"/>
      <c r="V206" s="48"/>
      <c r="W206" s="48"/>
    </row>
    <row r="207" ht="32.9" customHeight="true" spans="1:23">
      <c r="A207" s="18" t="s">
        <v>559</v>
      </c>
      <c r="B207" s="155" t="s">
        <v>667</v>
      </c>
      <c r="C207" s="18" t="s">
        <v>666</v>
      </c>
      <c r="D207" s="18" t="s">
        <v>69</v>
      </c>
      <c r="E207" s="18" t="s">
        <v>138</v>
      </c>
      <c r="F207" s="18" t="s">
        <v>357</v>
      </c>
      <c r="G207" s="18" t="s">
        <v>275</v>
      </c>
      <c r="H207" s="18" t="s">
        <v>276</v>
      </c>
      <c r="I207" s="48">
        <v>500000</v>
      </c>
      <c r="J207" s="48"/>
      <c r="K207" s="48"/>
      <c r="L207" s="48"/>
      <c r="M207" s="48"/>
      <c r="N207" s="48"/>
      <c r="O207" s="48"/>
      <c r="P207" s="48"/>
      <c r="Q207" s="48"/>
      <c r="R207" s="48">
        <v>500000</v>
      </c>
      <c r="S207" s="48">
        <v>500000</v>
      </c>
      <c r="T207" s="48"/>
      <c r="U207" s="48"/>
      <c r="V207" s="48"/>
      <c r="W207" s="48"/>
    </row>
    <row r="208" ht="32.9" customHeight="true" spans="1:23">
      <c r="A208" s="18" t="s">
        <v>559</v>
      </c>
      <c r="B208" s="155" t="s">
        <v>667</v>
      </c>
      <c r="C208" s="18" t="s">
        <v>666</v>
      </c>
      <c r="D208" s="18" t="s">
        <v>69</v>
      </c>
      <c r="E208" s="18" t="s">
        <v>138</v>
      </c>
      <c r="F208" s="18" t="s">
        <v>357</v>
      </c>
      <c r="G208" s="18" t="s">
        <v>308</v>
      </c>
      <c r="H208" s="18" t="s">
        <v>309</v>
      </c>
      <c r="I208" s="48">
        <v>400000</v>
      </c>
      <c r="J208" s="48"/>
      <c r="K208" s="48"/>
      <c r="L208" s="48"/>
      <c r="M208" s="48"/>
      <c r="N208" s="48"/>
      <c r="O208" s="48"/>
      <c r="P208" s="48"/>
      <c r="Q208" s="48"/>
      <c r="R208" s="48">
        <v>400000</v>
      </c>
      <c r="S208" s="48">
        <v>400000</v>
      </c>
      <c r="T208" s="48"/>
      <c r="U208" s="48"/>
      <c r="V208" s="48"/>
      <c r="W208" s="48"/>
    </row>
    <row r="209" ht="32.9" customHeight="true" spans="1:23">
      <c r="A209" s="18" t="s">
        <v>559</v>
      </c>
      <c r="B209" s="155" t="s">
        <v>667</v>
      </c>
      <c r="C209" s="18" t="s">
        <v>666</v>
      </c>
      <c r="D209" s="18" t="s">
        <v>69</v>
      </c>
      <c r="E209" s="18" t="s">
        <v>138</v>
      </c>
      <c r="F209" s="18" t="s">
        <v>357</v>
      </c>
      <c r="G209" s="18" t="s">
        <v>310</v>
      </c>
      <c r="H209" s="18" t="s">
        <v>311</v>
      </c>
      <c r="I209" s="48">
        <v>950000</v>
      </c>
      <c r="J209" s="48"/>
      <c r="K209" s="48"/>
      <c r="L209" s="48"/>
      <c r="M209" s="48"/>
      <c r="N209" s="48"/>
      <c r="O209" s="48"/>
      <c r="P209" s="48"/>
      <c r="Q209" s="48"/>
      <c r="R209" s="48">
        <v>950000</v>
      </c>
      <c r="S209" s="48">
        <v>950000</v>
      </c>
      <c r="T209" s="48"/>
      <c r="U209" s="48"/>
      <c r="V209" s="48"/>
      <c r="W209" s="48"/>
    </row>
    <row r="210" ht="32.9" customHeight="true" spans="1:23">
      <c r="A210" s="18" t="s">
        <v>559</v>
      </c>
      <c r="B210" s="155" t="s">
        <v>667</v>
      </c>
      <c r="C210" s="18" t="s">
        <v>666</v>
      </c>
      <c r="D210" s="18" t="s">
        <v>69</v>
      </c>
      <c r="E210" s="18" t="s">
        <v>138</v>
      </c>
      <c r="F210" s="18" t="s">
        <v>357</v>
      </c>
      <c r="G210" s="18" t="s">
        <v>312</v>
      </c>
      <c r="H210" s="18" t="s">
        <v>313</v>
      </c>
      <c r="I210" s="48">
        <v>100000</v>
      </c>
      <c r="J210" s="48"/>
      <c r="K210" s="48"/>
      <c r="L210" s="48"/>
      <c r="M210" s="48"/>
      <c r="N210" s="48"/>
      <c r="O210" s="48"/>
      <c r="P210" s="48"/>
      <c r="Q210" s="48"/>
      <c r="R210" s="48">
        <v>100000</v>
      </c>
      <c r="S210" s="48">
        <v>100000</v>
      </c>
      <c r="T210" s="48"/>
      <c r="U210" s="48"/>
      <c r="V210" s="48"/>
      <c r="W210" s="48"/>
    </row>
    <row r="211" ht="32.9" customHeight="true" spans="1:23">
      <c r="A211" s="18" t="s">
        <v>559</v>
      </c>
      <c r="B211" s="155" t="s">
        <v>667</v>
      </c>
      <c r="C211" s="18" t="s">
        <v>666</v>
      </c>
      <c r="D211" s="18" t="s">
        <v>69</v>
      </c>
      <c r="E211" s="18" t="s">
        <v>138</v>
      </c>
      <c r="F211" s="18" t="s">
        <v>357</v>
      </c>
      <c r="G211" s="18" t="s">
        <v>331</v>
      </c>
      <c r="H211" s="18" t="s">
        <v>330</v>
      </c>
      <c r="I211" s="48">
        <v>1869800</v>
      </c>
      <c r="J211" s="48"/>
      <c r="K211" s="48"/>
      <c r="L211" s="48"/>
      <c r="M211" s="48"/>
      <c r="N211" s="48"/>
      <c r="O211" s="48"/>
      <c r="P211" s="48"/>
      <c r="Q211" s="48"/>
      <c r="R211" s="48">
        <v>1869800</v>
      </c>
      <c r="S211" s="48">
        <v>1869800</v>
      </c>
      <c r="T211" s="48"/>
      <c r="U211" s="48"/>
      <c r="V211" s="48"/>
      <c r="W211" s="48"/>
    </row>
    <row r="212" ht="32.9" customHeight="true" spans="1:23">
      <c r="A212" s="18" t="s">
        <v>559</v>
      </c>
      <c r="B212" s="155" t="s">
        <v>667</v>
      </c>
      <c r="C212" s="18" t="s">
        <v>666</v>
      </c>
      <c r="D212" s="18" t="s">
        <v>69</v>
      </c>
      <c r="E212" s="18" t="s">
        <v>138</v>
      </c>
      <c r="F212" s="18" t="s">
        <v>357</v>
      </c>
      <c r="G212" s="18" t="s">
        <v>277</v>
      </c>
      <c r="H212" s="18" t="s">
        <v>278</v>
      </c>
      <c r="I212" s="48">
        <v>281500</v>
      </c>
      <c r="J212" s="48"/>
      <c r="K212" s="48"/>
      <c r="L212" s="48"/>
      <c r="M212" s="48"/>
      <c r="N212" s="48"/>
      <c r="O212" s="48"/>
      <c r="P212" s="48"/>
      <c r="Q212" s="48"/>
      <c r="R212" s="48">
        <v>281500</v>
      </c>
      <c r="S212" s="48">
        <v>281500</v>
      </c>
      <c r="T212" s="48"/>
      <c r="U212" s="48"/>
      <c r="V212" s="48"/>
      <c r="W212" s="48"/>
    </row>
    <row r="213" ht="32.9" customHeight="true" spans="1:23">
      <c r="A213" s="18" t="s">
        <v>559</v>
      </c>
      <c r="B213" s="155" t="s">
        <v>667</v>
      </c>
      <c r="C213" s="18" t="s">
        <v>666</v>
      </c>
      <c r="D213" s="18" t="s">
        <v>69</v>
      </c>
      <c r="E213" s="18" t="s">
        <v>138</v>
      </c>
      <c r="F213" s="18" t="s">
        <v>357</v>
      </c>
      <c r="G213" s="18" t="s">
        <v>314</v>
      </c>
      <c r="H213" s="18" t="s">
        <v>315</v>
      </c>
      <c r="I213" s="48">
        <v>2741520</v>
      </c>
      <c r="J213" s="48"/>
      <c r="K213" s="48"/>
      <c r="L213" s="48"/>
      <c r="M213" s="48"/>
      <c r="N213" s="48"/>
      <c r="O213" s="48"/>
      <c r="P213" s="48"/>
      <c r="Q213" s="48"/>
      <c r="R213" s="48">
        <v>2741520</v>
      </c>
      <c r="S213" s="48">
        <v>2741520</v>
      </c>
      <c r="T213" s="48"/>
      <c r="U213" s="48"/>
      <c r="V213" s="48"/>
      <c r="W213" s="48"/>
    </row>
    <row r="214" ht="32.9" customHeight="true" spans="1:23">
      <c r="A214" s="18" t="s">
        <v>559</v>
      </c>
      <c r="B214" s="155" t="s">
        <v>667</v>
      </c>
      <c r="C214" s="18" t="s">
        <v>666</v>
      </c>
      <c r="D214" s="18" t="s">
        <v>69</v>
      </c>
      <c r="E214" s="18" t="s">
        <v>138</v>
      </c>
      <c r="F214" s="18" t="s">
        <v>357</v>
      </c>
      <c r="G214" s="18" t="s">
        <v>281</v>
      </c>
      <c r="H214" s="18" t="s">
        <v>282</v>
      </c>
      <c r="I214" s="48">
        <v>310000</v>
      </c>
      <c r="J214" s="48"/>
      <c r="K214" s="48"/>
      <c r="L214" s="48"/>
      <c r="M214" s="48"/>
      <c r="N214" s="48"/>
      <c r="O214" s="48"/>
      <c r="P214" s="48"/>
      <c r="Q214" s="48"/>
      <c r="R214" s="48">
        <v>310000</v>
      </c>
      <c r="S214" s="48">
        <v>310000</v>
      </c>
      <c r="T214" s="48"/>
      <c r="U214" s="48"/>
      <c r="V214" s="48"/>
      <c r="W214" s="48"/>
    </row>
    <row r="215" ht="32.9" customHeight="true" spans="1:23">
      <c r="A215" s="18" t="s">
        <v>559</v>
      </c>
      <c r="B215" s="155" t="s">
        <v>667</v>
      </c>
      <c r="C215" s="18" t="s">
        <v>666</v>
      </c>
      <c r="D215" s="18" t="s">
        <v>69</v>
      </c>
      <c r="E215" s="18" t="s">
        <v>138</v>
      </c>
      <c r="F215" s="18" t="s">
        <v>357</v>
      </c>
      <c r="G215" s="18" t="s">
        <v>625</v>
      </c>
      <c r="H215" s="18" t="s">
        <v>626</v>
      </c>
      <c r="I215" s="48">
        <v>17425000</v>
      </c>
      <c r="J215" s="48"/>
      <c r="K215" s="48"/>
      <c r="L215" s="48"/>
      <c r="M215" s="48"/>
      <c r="N215" s="48"/>
      <c r="O215" s="48"/>
      <c r="P215" s="48"/>
      <c r="Q215" s="48"/>
      <c r="R215" s="48">
        <v>17425000</v>
      </c>
      <c r="S215" s="48">
        <v>17425000</v>
      </c>
      <c r="T215" s="48"/>
      <c r="U215" s="48"/>
      <c r="V215" s="48"/>
      <c r="W215" s="48"/>
    </row>
    <row r="216" ht="32.9" customHeight="true" spans="1:23">
      <c r="A216" s="18" t="s">
        <v>559</v>
      </c>
      <c r="B216" s="155" t="s">
        <v>667</v>
      </c>
      <c r="C216" s="18" t="s">
        <v>666</v>
      </c>
      <c r="D216" s="18" t="s">
        <v>69</v>
      </c>
      <c r="E216" s="18" t="s">
        <v>138</v>
      </c>
      <c r="F216" s="18" t="s">
        <v>357</v>
      </c>
      <c r="G216" s="18" t="s">
        <v>316</v>
      </c>
      <c r="H216" s="18" t="s">
        <v>317</v>
      </c>
      <c r="I216" s="48">
        <v>1268300</v>
      </c>
      <c r="J216" s="48"/>
      <c r="K216" s="48"/>
      <c r="L216" s="48"/>
      <c r="M216" s="48"/>
      <c r="N216" s="48"/>
      <c r="O216" s="48"/>
      <c r="P216" s="48"/>
      <c r="Q216" s="48"/>
      <c r="R216" s="48">
        <v>1268300</v>
      </c>
      <c r="S216" s="48">
        <v>1268300</v>
      </c>
      <c r="T216" s="48"/>
      <c r="U216" s="48"/>
      <c r="V216" s="48"/>
      <c r="W216" s="48"/>
    </row>
    <row r="217" ht="32.9" customHeight="true" spans="1:23">
      <c r="A217" s="18" t="s">
        <v>559</v>
      </c>
      <c r="B217" s="155" t="s">
        <v>667</v>
      </c>
      <c r="C217" s="18" t="s">
        <v>666</v>
      </c>
      <c r="D217" s="18" t="s">
        <v>69</v>
      </c>
      <c r="E217" s="18" t="s">
        <v>138</v>
      </c>
      <c r="F217" s="18" t="s">
        <v>357</v>
      </c>
      <c r="G217" s="18" t="s">
        <v>283</v>
      </c>
      <c r="H217" s="18" t="s">
        <v>284</v>
      </c>
      <c r="I217" s="48">
        <v>2960000</v>
      </c>
      <c r="J217" s="48"/>
      <c r="K217" s="48"/>
      <c r="L217" s="48"/>
      <c r="M217" s="48"/>
      <c r="N217" s="48"/>
      <c r="O217" s="48"/>
      <c r="P217" s="48"/>
      <c r="Q217" s="48"/>
      <c r="R217" s="48">
        <v>2960000</v>
      </c>
      <c r="S217" s="48">
        <v>2960000</v>
      </c>
      <c r="T217" s="48"/>
      <c r="U217" s="48"/>
      <c r="V217" s="48"/>
      <c r="W217" s="48"/>
    </row>
    <row r="218" ht="32.9" customHeight="true" spans="1:23">
      <c r="A218" s="18" t="s">
        <v>559</v>
      </c>
      <c r="B218" s="155" t="s">
        <v>667</v>
      </c>
      <c r="C218" s="18" t="s">
        <v>666</v>
      </c>
      <c r="D218" s="18" t="s">
        <v>69</v>
      </c>
      <c r="E218" s="18" t="s">
        <v>138</v>
      </c>
      <c r="F218" s="18" t="s">
        <v>357</v>
      </c>
      <c r="G218" s="18" t="s">
        <v>270</v>
      </c>
      <c r="H218" s="18" t="s">
        <v>269</v>
      </c>
      <c r="I218" s="48">
        <v>400000</v>
      </c>
      <c r="J218" s="48"/>
      <c r="K218" s="48"/>
      <c r="L218" s="48"/>
      <c r="M218" s="48"/>
      <c r="N218" s="48"/>
      <c r="O218" s="48"/>
      <c r="P218" s="48"/>
      <c r="Q218" s="48"/>
      <c r="R218" s="48">
        <v>400000</v>
      </c>
      <c r="S218" s="48">
        <v>400000</v>
      </c>
      <c r="T218" s="48"/>
      <c r="U218" s="48"/>
      <c r="V218" s="48"/>
      <c r="W218" s="48"/>
    </row>
    <row r="219" ht="32.9" customHeight="true" spans="1:23">
      <c r="A219" s="18" t="s">
        <v>559</v>
      </c>
      <c r="B219" s="155" t="s">
        <v>667</v>
      </c>
      <c r="C219" s="18" t="s">
        <v>666</v>
      </c>
      <c r="D219" s="18" t="s">
        <v>69</v>
      </c>
      <c r="E219" s="18" t="s">
        <v>138</v>
      </c>
      <c r="F219" s="18" t="s">
        <v>357</v>
      </c>
      <c r="G219" s="18" t="s">
        <v>262</v>
      </c>
      <c r="H219" s="18" t="s">
        <v>263</v>
      </c>
      <c r="I219" s="48">
        <v>100000</v>
      </c>
      <c r="J219" s="48"/>
      <c r="K219" s="48"/>
      <c r="L219" s="48"/>
      <c r="M219" s="48"/>
      <c r="N219" s="48"/>
      <c r="O219" s="48"/>
      <c r="P219" s="48"/>
      <c r="Q219" s="48"/>
      <c r="R219" s="48">
        <v>100000</v>
      </c>
      <c r="S219" s="48">
        <v>100000</v>
      </c>
      <c r="T219" s="48"/>
      <c r="U219" s="48"/>
      <c r="V219" s="48"/>
      <c r="W219" s="48"/>
    </row>
    <row r="220" ht="32.9" customHeight="true" spans="1:23">
      <c r="A220" s="18" t="s">
        <v>559</v>
      </c>
      <c r="B220" s="155" t="s">
        <v>667</v>
      </c>
      <c r="C220" s="18" t="s">
        <v>666</v>
      </c>
      <c r="D220" s="18" t="s">
        <v>69</v>
      </c>
      <c r="E220" s="18" t="s">
        <v>138</v>
      </c>
      <c r="F220" s="18" t="s">
        <v>357</v>
      </c>
      <c r="G220" s="18" t="s">
        <v>266</v>
      </c>
      <c r="H220" s="18" t="s">
        <v>267</v>
      </c>
      <c r="I220" s="48">
        <v>50000</v>
      </c>
      <c r="J220" s="48"/>
      <c r="K220" s="48"/>
      <c r="L220" s="48"/>
      <c r="M220" s="48"/>
      <c r="N220" s="48"/>
      <c r="O220" s="48"/>
      <c r="P220" s="48"/>
      <c r="Q220" s="48"/>
      <c r="R220" s="48">
        <v>50000</v>
      </c>
      <c r="S220" s="48">
        <v>50000</v>
      </c>
      <c r="T220" s="48"/>
      <c r="U220" s="48"/>
      <c r="V220" s="48"/>
      <c r="W220" s="48"/>
    </row>
    <row r="221" ht="32.9" customHeight="true" spans="1:23">
      <c r="A221" s="18" t="s">
        <v>559</v>
      </c>
      <c r="B221" s="155" t="s">
        <v>667</v>
      </c>
      <c r="C221" s="18" t="s">
        <v>666</v>
      </c>
      <c r="D221" s="18" t="s">
        <v>69</v>
      </c>
      <c r="E221" s="18" t="s">
        <v>138</v>
      </c>
      <c r="F221" s="18" t="s">
        <v>357</v>
      </c>
      <c r="G221" s="18" t="s">
        <v>629</v>
      </c>
      <c r="H221" s="18" t="s">
        <v>630</v>
      </c>
      <c r="I221" s="48">
        <v>4867680</v>
      </c>
      <c r="J221" s="48"/>
      <c r="K221" s="48"/>
      <c r="L221" s="48"/>
      <c r="M221" s="48"/>
      <c r="N221" s="48"/>
      <c r="O221" s="48"/>
      <c r="P221" s="48"/>
      <c r="Q221" s="48"/>
      <c r="R221" s="48">
        <v>4867680</v>
      </c>
      <c r="S221" s="48">
        <v>4867680</v>
      </c>
      <c r="T221" s="48"/>
      <c r="U221" s="48"/>
      <c r="V221" s="48"/>
      <c r="W221" s="48"/>
    </row>
    <row r="222" ht="32.9" customHeight="true" spans="1:23">
      <c r="A222" s="18" t="s">
        <v>559</v>
      </c>
      <c r="B222" s="155" t="s">
        <v>667</v>
      </c>
      <c r="C222" s="18" t="s">
        <v>666</v>
      </c>
      <c r="D222" s="18" t="s">
        <v>69</v>
      </c>
      <c r="E222" s="18" t="s">
        <v>164</v>
      </c>
      <c r="F222" s="18" t="s">
        <v>98</v>
      </c>
      <c r="G222" s="18" t="s">
        <v>546</v>
      </c>
      <c r="H222" s="18" t="s">
        <v>98</v>
      </c>
      <c r="I222" s="48">
        <v>7323200</v>
      </c>
      <c r="J222" s="48"/>
      <c r="K222" s="48"/>
      <c r="L222" s="48"/>
      <c r="M222" s="48"/>
      <c r="N222" s="48"/>
      <c r="O222" s="48"/>
      <c r="P222" s="48"/>
      <c r="Q222" s="48"/>
      <c r="R222" s="48">
        <v>7323200</v>
      </c>
      <c r="S222" s="48">
        <v>7323200</v>
      </c>
      <c r="T222" s="48"/>
      <c r="U222" s="48"/>
      <c r="V222" s="48"/>
      <c r="W222" s="48"/>
    </row>
    <row r="223" ht="32.9" customHeight="true" spans="1:23">
      <c r="A223" s="18"/>
      <c r="B223" s="18"/>
      <c r="C223" s="18" t="s">
        <v>668</v>
      </c>
      <c r="D223" s="18"/>
      <c r="E223" s="18"/>
      <c r="F223" s="18"/>
      <c r="G223" s="18"/>
      <c r="H223" s="18"/>
      <c r="I223" s="48">
        <v>134289.4</v>
      </c>
      <c r="J223" s="48"/>
      <c r="K223" s="48"/>
      <c r="L223" s="48"/>
      <c r="M223" s="48"/>
      <c r="N223" s="48">
        <v>134289.4</v>
      </c>
      <c r="O223" s="48"/>
      <c r="P223" s="48"/>
      <c r="Q223" s="48"/>
      <c r="R223" s="48"/>
      <c r="S223" s="48"/>
      <c r="T223" s="48"/>
      <c r="U223" s="48"/>
      <c r="V223" s="48"/>
      <c r="W223" s="48"/>
    </row>
    <row r="224" ht="32.9" customHeight="true" spans="1:23">
      <c r="A224" s="18" t="s">
        <v>538</v>
      </c>
      <c r="B224" s="155" t="s">
        <v>669</v>
      </c>
      <c r="C224" s="18" t="s">
        <v>668</v>
      </c>
      <c r="D224" s="18" t="s">
        <v>69</v>
      </c>
      <c r="E224" s="18" t="s">
        <v>142</v>
      </c>
      <c r="F224" s="18" t="s">
        <v>549</v>
      </c>
      <c r="G224" s="18" t="s">
        <v>277</v>
      </c>
      <c r="H224" s="18" t="s">
        <v>278</v>
      </c>
      <c r="I224" s="48">
        <v>15000</v>
      </c>
      <c r="J224" s="48"/>
      <c r="K224" s="48"/>
      <c r="L224" s="48"/>
      <c r="M224" s="48"/>
      <c r="N224" s="48">
        <v>15000</v>
      </c>
      <c r="O224" s="48"/>
      <c r="P224" s="48"/>
      <c r="Q224" s="48"/>
      <c r="R224" s="48"/>
      <c r="S224" s="48"/>
      <c r="T224" s="48"/>
      <c r="U224" s="48"/>
      <c r="V224" s="48"/>
      <c r="W224" s="48"/>
    </row>
    <row r="225" ht="32.9" customHeight="true" spans="1:23">
      <c r="A225" s="18" t="s">
        <v>538</v>
      </c>
      <c r="B225" s="155" t="s">
        <v>669</v>
      </c>
      <c r="C225" s="18" t="s">
        <v>668</v>
      </c>
      <c r="D225" s="18" t="s">
        <v>69</v>
      </c>
      <c r="E225" s="18" t="s">
        <v>142</v>
      </c>
      <c r="F225" s="18" t="s">
        <v>549</v>
      </c>
      <c r="G225" s="18" t="s">
        <v>279</v>
      </c>
      <c r="H225" s="18" t="s">
        <v>280</v>
      </c>
      <c r="I225" s="48">
        <v>15440</v>
      </c>
      <c r="J225" s="48"/>
      <c r="K225" s="48"/>
      <c r="L225" s="48"/>
      <c r="M225" s="48"/>
      <c r="N225" s="48">
        <v>15440</v>
      </c>
      <c r="O225" s="48"/>
      <c r="P225" s="48"/>
      <c r="Q225" s="48"/>
      <c r="R225" s="48"/>
      <c r="S225" s="48"/>
      <c r="T225" s="48"/>
      <c r="U225" s="48"/>
      <c r="V225" s="48"/>
      <c r="W225" s="48"/>
    </row>
    <row r="226" ht="32.9" customHeight="true" spans="1:23">
      <c r="A226" s="18" t="s">
        <v>538</v>
      </c>
      <c r="B226" s="155" t="s">
        <v>669</v>
      </c>
      <c r="C226" s="18" t="s">
        <v>668</v>
      </c>
      <c r="D226" s="18" t="s">
        <v>69</v>
      </c>
      <c r="E226" s="18" t="s">
        <v>142</v>
      </c>
      <c r="F226" s="18" t="s">
        <v>549</v>
      </c>
      <c r="G226" s="18" t="s">
        <v>281</v>
      </c>
      <c r="H226" s="18" t="s">
        <v>282</v>
      </c>
      <c r="I226" s="48">
        <v>83122.4</v>
      </c>
      <c r="J226" s="48"/>
      <c r="K226" s="48"/>
      <c r="L226" s="48"/>
      <c r="M226" s="48"/>
      <c r="N226" s="48">
        <v>83122.4</v>
      </c>
      <c r="O226" s="48"/>
      <c r="P226" s="48"/>
      <c r="Q226" s="48"/>
      <c r="R226" s="48"/>
      <c r="S226" s="48"/>
      <c r="T226" s="48"/>
      <c r="U226" s="48"/>
      <c r="V226" s="48"/>
      <c r="W226" s="48"/>
    </row>
    <row r="227" ht="32.9" customHeight="true" spans="1:23">
      <c r="A227" s="18" t="s">
        <v>538</v>
      </c>
      <c r="B227" s="155" t="s">
        <v>669</v>
      </c>
      <c r="C227" s="18" t="s">
        <v>668</v>
      </c>
      <c r="D227" s="18" t="s">
        <v>69</v>
      </c>
      <c r="E227" s="18" t="s">
        <v>142</v>
      </c>
      <c r="F227" s="18" t="s">
        <v>549</v>
      </c>
      <c r="G227" s="18" t="s">
        <v>316</v>
      </c>
      <c r="H227" s="18" t="s">
        <v>317</v>
      </c>
      <c r="I227" s="48">
        <v>20727</v>
      </c>
      <c r="J227" s="48"/>
      <c r="K227" s="48"/>
      <c r="L227" s="48"/>
      <c r="M227" s="48"/>
      <c r="N227" s="48">
        <v>20727</v>
      </c>
      <c r="O227" s="48"/>
      <c r="P227" s="48"/>
      <c r="Q227" s="48"/>
      <c r="R227" s="48"/>
      <c r="S227" s="48"/>
      <c r="T227" s="48"/>
      <c r="U227" s="48"/>
      <c r="V227" s="48"/>
      <c r="W227" s="48"/>
    </row>
    <row r="228" ht="32.9" customHeight="true" spans="1:23">
      <c r="A228" s="18"/>
      <c r="B228" s="18"/>
      <c r="C228" s="18" t="s">
        <v>670</v>
      </c>
      <c r="D228" s="18"/>
      <c r="E228" s="18"/>
      <c r="F228" s="18"/>
      <c r="G228" s="18"/>
      <c r="H228" s="18"/>
      <c r="I228" s="48">
        <v>2000</v>
      </c>
      <c r="J228" s="48"/>
      <c r="K228" s="48"/>
      <c r="L228" s="48"/>
      <c r="M228" s="48"/>
      <c r="N228" s="48">
        <v>2000</v>
      </c>
      <c r="O228" s="48"/>
      <c r="P228" s="48"/>
      <c r="Q228" s="48"/>
      <c r="R228" s="48"/>
      <c r="S228" s="48"/>
      <c r="T228" s="48"/>
      <c r="U228" s="48"/>
      <c r="V228" s="48"/>
      <c r="W228" s="48"/>
    </row>
    <row r="229" ht="32.9" customHeight="true" spans="1:23">
      <c r="A229" s="18" t="s">
        <v>559</v>
      </c>
      <c r="B229" s="155" t="s">
        <v>671</v>
      </c>
      <c r="C229" s="18" t="s">
        <v>670</v>
      </c>
      <c r="D229" s="18" t="s">
        <v>69</v>
      </c>
      <c r="E229" s="18" t="s">
        <v>132</v>
      </c>
      <c r="F229" s="18" t="s">
        <v>481</v>
      </c>
      <c r="G229" s="18" t="s">
        <v>631</v>
      </c>
      <c r="H229" s="18" t="s">
        <v>632</v>
      </c>
      <c r="I229" s="48">
        <v>2000</v>
      </c>
      <c r="J229" s="48"/>
      <c r="K229" s="48"/>
      <c r="L229" s="48"/>
      <c r="M229" s="48"/>
      <c r="N229" s="48">
        <v>2000</v>
      </c>
      <c r="O229" s="48"/>
      <c r="P229" s="48"/>
      <c r="Q229" s="48"/>
      <c r="R229" s="48"/>
      <c r="S229" s="48"/>
      <c r="T229" s="48"/>
      <c r="U229" s="48"/>
      <c r="V229" s="48"/>
      <c r="W229" s="48"/>
    </row>
    <row r="230" ht="32.9" customHeight="true" spans="1:23">
      <c r="A230" s="18"/>
      <c r="B230" s="18"/>
      <c r="C230" s="18" t="s">
        <v>672</v>
      </c>
      <c r="D230" s="18"/>
      <c r="E230" s="18"/>
      <c r="F230" s="18"/>
      <c r="G230" s="18"/>
      <c r="H230" s="18"/>
      <c r="I230" s="48">
        <v>1157.6</v>
      </c>
      <c r="J230" s="48"/>
      <c r="K230" s="48"/>
      <c r="L230" s="48"/>
      <c r="M230" s="48"/>
      <c r="N230" s="48">
        <v>1157.6</v>
      </c>
      <c r="O230" s="48"/>
      <c r="P230" s="48"/>
      <c r="Q230" s="48"/>
      <c r="R230" s="48"/>
      <c r="S230" s="48"/>
      <c r="T230" s="48"/>
      <c r="U230" s="48"/>
      <c r="V230" s="48"/>
      <c r="W230" s="48"/>
    </row>
    <row r="231" ht="32.9" customHeight="true" spans="1:23">
      <c r="A231" s="18" t="s">
        <v>567</v>
      </c>
      <c r="B231" s="155" t="s">
        <v>673</v>
      </c>
      <c r="C231" s="18" t="s">
        <v>672</v>
      </c>
      <c r="D231" s="18" t="s">
        <v>69</v>
      </c>
      <c r="E231" s="18" t="s">
        <v>141</v>
      </c>
      <c r="F231" s="18" t="s">
        <v>555</v>
      </c>
      <c r="G231" s="18" t="s">
        <v>279</v>
      </c>
      <c r="H231" s="18" t="s">
        <v>280</v>
      </c>
      <c r="I231" s="48">
        <v>1157.6</v>
      </c>
      <c r="J231" s="48"/>
      <c r="K231" s="48"/>
      <c r="L231" s="48"/>
      <c r="M231" s="48"/>
      <c r="N231" s="48">
        <v>1157.6</v>
      </c>
      <c r="O231" s="48"/>
      <c r="P231" s="48"/>
      <c r="Q231" s="48"/>
      <c r="R231" s="48"/>
      <c r="S231" s="48"/>
      <c r="T231" s="48"/>
      <c r="U231" s="48"/>
      <c r="V231" s="48"/>
      <c r="W231" s="48"/>
    </row>
    <row r="232" ht="32.9" customHeight="true" spans="1:23">
      <c r="A232" s="18"/>
      <c r="B232" s="18"/>
      <c r="C232" s="18" t="s">
        <v>674</v>
      </c>
      <c r="D232" s="18"/>
      <c r="E232" s="18"/>
      <c r="F232" s="18"/>
      <c r="G232" s="18"/>
      <c r="H232" s="18"/>
      <c r="I232" s="48">
        <v>2000</v>
      </c>
      <c r="J232" s="48"/>
      <c r="K232" s="48"/>
      <c r="L232" s="48"/>
      <c r="M232" s="48"/>
      <c r="N232" s="48">
        <v>2000</v>
      </c>
      <c r="O232" s="48"/>
      <c r="P232" s="48"/>
      <c r="Q232" s="48"/>
      <c r="R232" s="48"/>
      <c r="S232" s="48"/>
      <c r="T232" s="48"/>
      <c r="U232" s="48"/>
      <c r="V232" s="48"/>
      <c r="W232" s="48"/>
    </row>
    <row r="233" ht="32.9" customHeight="true" spans="1:23">
      <c r="A233" s="18" t="s">
        <v>559</v>
      </c>
      <c r="B233" s="155" t="s">
        <v>675</v>
      </c>
      <c r="C233" s="18" t="s">
        <v>674</v>
      </c>
      <c r="D233" s="18" t="s">
        <v>69</v>
      </c>
      <c r="E233" s="18" t="s">
        <v>132</v>
      </c>
      <c r="F233" s="18" t="s">
        <v>481</v>
      </c>
      <c r="G233" s="18" t="s">
        <v>629</v>
      </c>
      <c r="H233" s="18" t="s">
        <v>630</v>
      </c>
      <c r="I233" s="48">
        <v>2000</v>
      </c>
      <c r="J233" s="48"/>
      <c r="K233" s="48"/>
      <c r="L233" s="48"/>
      <c r="M233" s="48"/>
      <c r="N233" s="48">
        <v>2000</v>
      </c>
      <c r="O233" s="48"/>
      <c r="P233" s="48"/>
      <c r="Q233" s="48"/>
      <c r="R233" s="48"/>
      <c r="S233" s="48"/>
      <c r="T233" s="48"/>
      <c r="U233" s="48"/>
      <c r="V233" s="48"/>
      <c r="W233" s="48"/>
    </row>
    <row r="234" ht="32.9" customHeight="true" spans="1:23">
      <c r="A234" s="18"/>
      <c r="B234" s="18"/>
      <c r="C234" s="18" t="s">
        <v>676</v>
      </c>
      <c r="D234" s="18"/>
      <c r="E234" s="18"/>
      <c r="F234" s="18"/>
      <c r="G234" s="18"/>
      <c r="H234" s="18"/>
      <c r="I234" s="48">
        <v>53552.4</v>
      </c>
      <c r="J234" s="48"/>
      <c r="K234" s="48"/>
      <c r="L234" s="48"/>
      <c r="M234" s="48"/>
      <c r="N234" s="48">
        <v>53552.4</v>
      </c>
      <c r="O234" s="48"/>
      <c r="P234" s="48"/>
      <c r="Q234" s="48"/>
      <c r="R234" s="48"/>
      <c r="S234" s="48"/>
      <c r="T234" s="48"/>
      <c r="U234" s="48"/>
      <c r="V234" s="48"/>
      <c r="W234" s="48"/>
    </row>
    <row r="235" ht="32.9" customHeight="true" spans="1:23">
      <c r="A235" s="18" t="s">
        <v>538</v>
      </c>
      <c r="B235" s="155" t="s">
        <v>677</v>
      </c>
      <c r="C235" s="18" t="s">
        <v>676</v>
      </c>
      <c r="D235" s="18" t="s">
        <v>69</v>
      </c>
      <c r="E235" s="18" t="s">
        <v>142</v>
      </c>
      <c r="F235" s="18" t="s">
        <v>549</v>
      </c>
      <c r="G235" s="18" t="s">
        <v>277</v>
      </c>
      <c r="H235" s="18" t="s">
        <v>278</v>
      </c>
      <c r="I235" s="48">
        <v>1250.4</v>
      </c>
      <c r="J235" s="48"/>
      <c r="K235" s="48"/>
      <c r="L235" s="48"/>
      <c r="M235" s="48"/>
      <c r="N235" s="48">
        <v>1250.4</v>
      </c>
      <c r="O235" s="48"/>
      <c r="P235" s="48"/>
      <c r="Q235" s="48"/>
      <c r="R235" s="48"/>
      <c r="S235" s="48"/>
      <c r="T235" s="48"/>
      <c r="U235" s="48"/>
      <c r="V235" s="48"/>
      <c r="W235" s="48"/>
    </row>
    <row r="236" ht="32.9" customHeight="true" spans="1:23">
      <c r="A236" s="18" t="s">
        <v>538</v>
      </c>
      <c r="B236" s="155" t="s">
        <v>677</v>
      </c>
      <c r="C236" s="18" t="s">
        <v>676</v>
      </c>
      <c r="D236" s="18" t="s">
        <v>69</v>
      </c>
      <c r="E236" s="18" t="s">
        <v>142</v>
      </c>
      <c r="F236" s="18" t="s">
        <v>549</v>
      </c>
      <c r="G236" s="18" t="s">
        <v>281</v>
      </c>
      <c r="H236" s="18" t="s">
        <v>282</v>
      </c>
      <c r="I236" s="48">
        <v>32302</v>
      </c>
      <c r="J236" s="48"/>
      <c r="K236" s="48"/>
      <c r="L236" s="48"/>
      <c r="M236" s="48"/>
      <c r="N236" s="48">
        <v>32302</v>
      </c>
      <c r="O236" s="48"/>
      <c r="P236" s="48"/>
      <c r="Q236" s="48"/>
      <c r="R236" s="48"/>
      <c r="S236" s="48"/>
      <c r="T236" s="48"/>
      <c r="U236" s="48"/>
      <c r="V236" s="48"/>
      <c r="W236" s="48"/>
    </row>
    <row r="237" ht="32.9" customHeight="true" spans="1:23">
      <c r="A237" s="18" t="s">
        <v>538</v>
      </c>
      <c r="B237" s="155" t="s">
        <v>677</v>
      </c>
      <c r="C237" s="18" t="s">
        <v>676</v>
      </c>
      <c r="D237" s="18" t="s">
        <v>69</v>
      </c>
      <c r="E237" s="18" t="s">
        <v>142</v>
      </c>
      <c r="F237" s="18" t="s">
        <v>549</v>
      </c>
      <c r="G237" s="18" t="s">
        <v>254</v>
      </c>
      <c r="H237" s="18" t="s">
        <v>255</v>
      </c>
      <c r="I237" s="48">
        <v>5000</v>
      </c>
      <c r="J237" s="48"/>
      <c r="K237" s="48"/>
      <c r="L237" s="48"/>
      <c r="M237" s="48"/>
      <c r="N237" s="48">
        <v>5000</v>
      </c>
      <c r="O237" s="48"/>
      <c r="P237" s="48"/>
      <c r="Q237" s="48"/>
      <c r="R237" s="48"/>
      <c r="S237" s="48"/>
      <c r="T237" s="48"/>
      <c r="U237" s="48"/>
      <c r="V237" s="48"/>
      <c r="W237" s="48"/>
    </row>
    <row r="238" ht="32.9" customHeight="true" spans="1:23">
      <c r="A238" s="18" t="s">
        <v>538</v>
      </c>
      <c r="B238" s="155" t="s">
        <v>677</v>
      </c>
      <c r="C238" s="18" t="s">
        <v>676</v>
      </c>
      <c r="D238" s="18" t="s">
        <v>69</v>
      </c>
      <c r="E238" s="18" t="s">
        <v>142</v>
      </c>
      <c r="F238" s="18" t="s">
        <v>549</v>
      </c>
      <c r="G238" s="18" t="s">
        <v>287</v>
      </c>
      <c r="H238" s="18" t="s">
        <v>288</v>
      </c>
      <c r="I238" s="48">
        <v>15000</v>
      </c>
      <c r="J238" s="48"/>
      <c r="K238" s="48"/>
      <c r="L238" s="48"/>
      <c r="M238" s="48"/>
      <c r="N238" s="48">
        <v>15000</v>
      </c>
      <c r="O238" s="48"/>
      <c r="P238" s="48"/>
      <c r="Q238" s="48"/>
      <c r="R238" s="48"/>
      <c r="S238" s="48"/>
      <c r="T238" s="48"/>
      <c r="U238" s="48"/>
      <c r="V238" s="48"/>
      <c r="W238" s="48"/>
    </row>
    <row r="239" ht="32.9" customHeight="true" spans="1:23">
      <c r="A239" s="18"/>
      <c r="B239" s="18"/>
      <c r="C239" s="18" t="s">
        <v>678</v>
      </c>
      <c r="D239" s="18"/>
      <c r="E239" s="18"/>
      <c r="F239" s="18"/>
      <c r="G239" s="18"/>
      <c r="H239" s="18"/>
      <c r="I239" s="48">
        <v>14694</v>
      </c>
      <c r="J239" s="48"/>
      <c r="K239" s="48"/>
      <c r="L239" s="48"/>
      <c r="M239" s="48"/>
      <c r="N239" s="48">
        <v>14694</v>
      </c>
      <c r="O239" s="48"/>
      <c r="P239" s="48"/>
      <c r="Q239" s="48"/>
      <c r="R239" s="48"/>
      <c r="S239" s="48"/>
      <c r="T239" s="48"/>
      <c r="U239" s="48"/>
      <c r="V239" s="48"/>
      <c r="W239" s="48"/>
    </row>
    <row r="240" ht="32.9" customHeight="true" spans="1:23">
      <c r="A240" s="18" t="s">
        <v>538</v>
      </c>
      <c r="B240" s="155" t="s">
        <v>679</v>
      </c>
      <c r="C240" s="18" t="s">
        <v>678</v>
      </c>
      <c r="D240" s="18" t="s">
        <v>69</v>
      </c>
      <c r="E240" s="18" t="s">
        <v>142</v>
      </c>
      <c r="F240" s="18" t="s">
        <v>549</v>
      </c>
      <c r="G240" s="18" t="s">
        <v>277</v>
      </c>
      <c r="H240" s="18" t="s">
        <v>278</v>
      </c>
      <c r="I240" s="48">
        <v>14694</v>
      </c>
      <c r="J240" s="48"/>
      <c r="K240" s="48"/>
      <c r="L240" s="48"/>
      <c r="M240" s="48"/>
      <c r="N240" s="48">
        <v>14694</v>
      </c>
      <c r="O240" s="48"/>
      <c r="P240" s="48"/>
      <c r="Q240" s="48"/>
      <c r="R240" s="48"/>
      <c r="S240" s="48"/>
      <c r="T240" s="48"/>
      <c r="U240" s="48"/>
      <c r="V240" s="48"/>
      <c r="W240" s="48"/>
    </row>
    <row r="241" ht="32.9" customHeight="true" spans="1:23">
      <c r="A241" s="18"/>
      <c r="B241" s="18"/>
      <c r="C241" s="18" t="s">
        <v>680</v>
      </c>
      <c r="D241" s="18"/>
      <c r="E241" s="18"/>
      <c r="F241" s="18"/>
      <c r="G241" s="18"/>
      <c r="H241" s="18"/>
      <c r="I241" s="48">
        <v>164545</v>
      </c>
      <c r="J241" s="48"/>
      <c r="K241" s="48"/>
      <c r="L241" s="48"/>
      <c r="M241" s="48"/>
      <c r="N241" s="48">
        <v>164545</v>
      </c>
      <c r="O241" s="48"/>
      <c r="P241" s="48"/>
      <c r="Q241" s="48"/>
      <c r="R241" s="48"/>
      <c r="S241" s="48"/>
      <c r="T241" s="48"/>
      <c r="U241" s="48"/>
      <c r="V241" s="48"/>
      <c r="W241" s="48"/>
    </row>
    <row r="242" ht="32.9" customHeight="true" spans="1:23">
      <c r="A242" s="18" t="s">
        <v>559</v>
      </c>
      <c r="B242" s="155" t="s">
        <v>681</v>
      </c>
      <c r="C242" s="18" t="s">
        <v>680</v>
      </c>
      <c r="D242" s="18" t="s">
        <v>69</v>
      </c>
      <c r="E242" s="18" t="s">
        <v>154</v>
      </c>
      <c r="F242" s="18" t="s">
        <v>569</v>
      </c>
      <c r="G242" s="18" t="s">
        <v>281</v>
      </c>
      <c r="H242" s="18" t="s">
        <v>282</v>
      </c>
      <c r="I242" s="48">
        <v>7521</v>
      </c>
      <c r="J242" s="48"/>
      <c r="K242" s="48"/>
      <c r="L242" s="48"/>
      <c r="M242" s="48"/>
      <c r="N242" s="48">
        <v>7521</v>
      </c>
      <c r="O242" s="48"/>
      <c r="P242" s="48"/>
      <c r="Q242" s="48"/>
      <c r="R242" s="48"/>
      <c r="S242" s="48"/>
      <c r="T242" s="48"/>
      <c r="U242" s="48"/>
      <c r="V242" s="48"/>
      <c r="W242" s="48"/>
    </row>
    <row r="243" ht="32.9" customHeight="true" spans="1:23">
      <c r="A243" s="18" t="s">
        <v>559</v>
      </c>
      <c r="B243" s="155" t="s">
        <v>681</v>
      </c>
      <c r="C243" s="18" t="s">
        <v>680</v>
      </c>
      <c r="D243" s="18" t="s">
        <v>69</v>
      </c>
      <c r="E243" s="18" t="s">
        <v>154</v>
      </c>
      <c r="F243" s="18" t="s">
        <v>569</v>
      </c>
      <c r="G243" s="18" t="s">
        <v>625</v>
      </c>
      <c r="H243" s="18" t="s">
        <v>626</v>
      </c>
      <c r="I243" s="48">
        <v>92024</v>
      </c>
      <c r="J243" s="48"/>
      <c r="K243" s="48"/>
      <c r="L243" s="48"/>
      <c r="M243" s="48"/>
      <c r="N243" s="48">
        <v>92024</v>
      </c>
      <c r="O243" s="48"/>
      <c r="P243" s="48"/>
      <c r="Q243" s="48"/>
      <c r="R243" s="48"/>
      <c r="S243" s="48"/>
      <c r="T243" s="48"/>
      <c r="U243" s="48"/>
      <c r="V243" s="48"/>
      <c r="W243" s="48"/>
    </row>
    <row r="244" ht="32.9" customHeight="true" spans="1:23">
      <c r="A244" s="18" t="s">
        <v>559</v>
      </c>
      <c r="B244" s="155" t="s">
        <v>681</v>
      </c>
      <c r="C244" s="18" t="s">
        <v>680</v>
      </c>
      <c r="D244" s="18" t="s">
        <v>69</v>
      </c>
      <c r="E244" s="18" t="s">
        <v>154</v>
      </c>
      <c r="F244" s="18" t="s">
        <v>569</v>
      </c>
      <c r="G244" s="18" t="s">
        <v>283</v>
      </c>
      <c r="H244" s="18" t="s">
        <v>284</v>
      </c>
      <c r="I244" s="48">
        <v>65000</v>
      </c>
      <c r="J244" s="48"/>
      <c r="K244" s="48"/>
      <c r="L244" s="48"/>
      <c r="M244" s="48"/>
      <c r="N244" s="48">
        <v>65000</v>
      </c>
      <c r="O244" s="48"/>
      <c r="P244" s="48"/>
      <c r="Q244" s="48"/>
      <c r="R244" s="48"/>
      <c r="S244" s="48"/>
      <c r="T244" s="48"/>
      <c r="U244" s="48"/>
      <c r="V244" s="48"/>
      <c r="W244" s="48"/>
    </row>
    <row r="245" ht="32.9" customHeight="true" spans="1:23">
      <c r="A245" s="18"/>
      <c r="B245" s="18"/>
      <c r="C245" s="18" t="s">
        <v>682</v>
      </c>
      <c r="D245" s="18"/>
      <c r="E245" s="18"/>
      <c r="F245" s="18"/>
      <c r="G245" s="18"/>
      <c r="H245" s="18"/>
      <c r="I245" s="48">
        <v>27100</v>
      </c>
      <c r="J245" s="48"/>
      <c r="K245" s="48"/>
      <c r="L245" s="48"/>
      <c r="M245" s="48"/>
      <c r="N245" s="48">
        <v>27100</v>
      </c>
      <c r="O245" s="48"/>
      <c r="P245" s="48"/>
      <c r="Q245" s="48"/>
      <c r="R245" s="48"/>
      <c r="S245" s="48"/>
      <c r="T245" s="48"/>
      <c r="U245" s="48"/>
      <c r="V245" s="48"/>
      <c r="W245" s="48"/>
    </row>
    <row r="246" ht="32.9" customHeight="true" spans="1:23">
      <c r="A246" s="18" t="s">
        <v>538</v>
      </c>
      <c r="B246" s="155" t="s">
        <v>683</v>
      </c>
      <c r="C246" s="18" t="s">
        <v>682</v>
      </c>
      <c r="D246" s="18" t="s">
        <v>69</v>
      </c>
      <c r="E246" s="18" t="s">
        <v>141</v>
      </c>
      <c r="F246" s="18" t="s">
        <v>555</v>
      </c>
      <c r="G246" s="18" t="s">
        <v>277</v>
      </c>
      <c r="H246" s="18" t="s">
        <v>278</v>
      </c>
      <c r="I246" s="48">
        <v>7000</v>
      </c>
      <c r="J246" s="48"/>
      <c r="K246" s="48"/>
      <c r="L246" s="48"/>
      <c r="M246" s="48"/>
      <c r="N246" s="48">
        <v>7000</v>
      </c>
      <c r="O246" s="48"/>
      <c r="P246" s="48"/>
      <c r="Q246" s="48"/>
      <c r="R246" s="48"/>
      <c r="S246" s="48"/>
      <c r="T246" s="48"/>
      <c r="U246" s="48"/>
      <c r="V246" s="48"/>
      <c r="W246" s="48"/>
    </row>
    <row r="247" ht="32.9" customHeight="true" spans="1:23">
      <c r="A247" s="18" t="s">
        <v>538</v>
      </c>
      <c r="B247" s="155" t="s">
        <v>683</v>
      </c>
      <c r="C247" s="18" t="s">
        <v>682</v>
      </c>
      <c r="D247" s="18" t="s">
        <v>69</v>
      </c>
      <c r="E247" s="18" t="s">
        <v>141</v>
      </c>
      <c r="F247" s="18" t="s">
        <v>555</v>
      </c>
      <c r="G247" s="18" t="s">
        <v>281</v>
      </c>
      <c r="H247" s="18" t="s">
        <v>282</v>
      </c>
      <c r="I247" s="48">
        <v>3000</v>
      </c>
      <c r="J247" s="48"/>
      <c r="K247" s="48"/>
      <c r="L247" s="48"/>
      <c r="M247" s="48"/>
      <c r="N247" s="48">
        <v>3000</v>
      </c>
      <c r="O247" s="48"/>
      <c r="P247" s="48"/>
      <c r="Q247" s="48"/>
      <c r="R247" s="48"/>
      <c r="S247" s="48"/>
      <c r="T247" s="48"/>
      <c r="U247" s="48"/>
      <c r="V247" s="48"/>
      <c r="W247" s="48"/>
    </row>
    <row r="248" ht="32.9" customHeight="true" spans="1:23">
      <c r="A248" s="18" t="s">
        <v>538</v>
      </c>
      <c r="B248" s="155" t="s">
        <v>683</v>
      </c>
      <c r="C248" s="18" t="s">
        <v>682</v>
      </c>
      <c r="D248" s="18" t="s">
        <v>69</v>
      </c>
      <c r="E248" s="18" t="s">
        <v>141</v>
      </c>
      <c r="F248" s="18" t="s">
        <v>555</v>
      </c>
      <c r="G248" s="18" t="s">
        <v>316</v>
      </c>
      <c r="H248" s="18" t="s">
        <v>317</v>
      </c>
      <c r="I248" s="48">
        <v>17100</v>
      </c>
      <c r="J248" s="48"/>
      <c r="K248" s="48"/>
      <c r="L248" s="48"/>
      <c r="M248" s="48"/>
      <c r="N248" s="48">
        <v>17100</v>
      </c>
      <c r="O248" s="48"/>
      <c r="P248" s="48"/>
      <c r="Q248" s="48"/>
      <c r="R248" s="48"/>
      <c r="S248" s="48"/>
      <c r="T248" s="48"/>
      <c r="U248" s="48"/>
      <c r="V248" s="48"/>
      <c r="W248" s="48"/>
    </row>
    <row r="249" ht="32.9" customHeight="true" spans="1:23">
      <c r="A249" s="18"/>
      <c r="B249" s="18"/>
      <c r="C249" s="18" t="s">
        <v>684</v>
      </c>
      <c r="D249" s="18"/>
      <c r="E249" s="18"/>
      <c r="F249" s="18"/>
      <c r="G249" s="18"/>
      <c r="H249" s="18"/>
      <c r="I249" s="48">
        <v>118983.1</v>
      </c>
      <c r="J249" s="48"/>
      <c r="K249" s="48"/>
      <c r="L249" s="48"/>
      <c r="M249" s="48"/>
      <c r="N249" s="48">
        <v>118983.1</v>
      </c>
      <c r="O249" s="48"/>
      <c r="P249" s="48"/>
      <c r="Q249" s="48"/>
      <c r="R249" s="48"/>
      <c r="S249" s="48"/>
      <c r="T249" s="48"/>
      <c r="U249" s="48"/>
      <c r="V249" s="48"/>
      <c r="W249" s="48"/>
    </row>
    <row r="250" ht="32.9" customHeight="true" spans="1:23">
      <c r="A250" s="18" t="s">
        <v>538</v>
      </c>
      <c r="B250" s="155" t="s">
        <v>685</v>
      </c>
      <c r="C250" s="18" t="s">
        <v>684</v>
      </c>
      <c r="D250" s="18" t="s">
        <v>69</v>
      </c>
      <c r="E250" s="18" t="s">
        <v>142</v>
      </c>
      <c r="F250" s="18" t="s">
        <v>549</v>
      </c>
      <c r="G250" s="18" t="s">
        <v>275</v>
      </c>
      <c r="H250" s="18" t="s">
        <v>276</v>
      </c>
      <c r="I250" s="48">
        <v>13787.1</v>
      </c>
      <c r="J250" s="48"/>
      <c r="K250" s="48"/>
      <c r="L250" s="48"/>
      <c r="M250" s="48"/>
      <c r="N250" s="48">
        <v>13787.1</v>
      </c>
      <c r="O250" s="48"/>
      <c r="P250" s="48"/>
      <c r="Q250" s="48"/>
      <c r="R250" s="48"/>
      <c r="S250" s="48"/>
      <c r="T250" s="48"/>
      <c r="U250" s="48"/>
      <c r="V250" s="48"/>
      <c r="W250" s="48"/>
    </row>
    <row r="251" ht="32.9" customHeight="true" spans="1:23">
      <c r="A251" s="18" t="s">
        <v>538</v>
      </c>
      <c r="B251" s="155" t="s">
        <v>685</v>
      </c>
      <c r="C251" s="18" t="s">
        <v>684</v>
      </c>
      <c r="D251" s="18" t="s">
        <v>69</v>
      </c>
      <c r="E251" s="18" t="s">
        <v>142</v>
      </c>
      <c r="F251" s="18" t="s">
        <v>549</v>
      </c>
      <c r="G251" s="18" t="s">
        <v>277</v>
      </c>
      <c r="H251" s="18" t="s">
        <v>278</v>
      </c>
      <c r="I251" s="48">
        <v>23996</v>
      </c>
      <c r="J251" s="48"/>
      <c r="K251" s="48"/>
      <c r="L251" s="48"/>
      <c r="M251" s="48"/>
      <c r="N251" s="48">
        <v>23996</v>
      </c>
      <c r="O251" s="48"/>
      <c r="P251" s="48"/>
      <c r="Q251" s="48"/>
      <c r="R251" s="48"/>
      <c r="S251" s="48"/>
      <c r="T251" s="48"/>
      <c r="U251" s="48"/>
      <c r="V251" s="48"/>
      <c r="W251" s="48"/>
    </row>
    <row r="252" ht="32.9" customHeight="true" spans="1:23">
      <c r="A252" s="18" t="s">
        <v>538</v>
      </c>
      <c r="B252" s="155" t="s">
        <v>685</v>
      </c>
      <c r="C252" s="18" t="s">
        <v>684</v>
      </c>
      <c r="D252" s="18" t="s">
        <v>69</v>
      </c>
      <c r="E252" s="18" t="s">
        <v>142</v>
      </c>
      <c r="F252" s="18" t="s">
        <v>549</v>
      </c>
      <c r="G252" s="18" t="s">
        <v>279</v>
      </c>
      <c r="H252" s="18" t="s">
        <v>280</v>
      </c>
      <c r="I252" s="48">
        <v>7200</v>
      </c>
      <c r="J252" s="48"/>
      <c r="K252" s="48"/>
      <c r="L252" s="48"/>
      <c r="M252" s="48"/>
      <c r="N252" s="48">
        <v>7200</v>
      </c>
      <c r="O252" s="48"/>
      <c r="P252" s="48"/>
      <c r="Q252" s="48"/>
      <c r="R252" s="48"/>
      <c r="S252" s="48"/>
      <c r="T252" s="48"/>
      <c r="U252" s="48"/>
      <c r="V252" s="48"/>
      <c r="W252" s="48"/>
    </row>
    <row r="253" ht="32.9" customHeight="true" spans="1:23">
      <c r="A253" s="18" t="s">
        <v>538</v>
      </c>
      <c r="B253" s="155" t="s">
        <v>685</v>
      </c>
      <c r="C253" s="18" t="s">
        <v>684</v>
      </c>
      <c r="D253" s="18" t="s">
        <v>69</v>
      </c>
      <c r="E253" s="18" t="s">
        <v>142</v>
      </c>
      <c r="F253" s="18" t="s">
        <v>549</v>
      </c>
      <c r="G253" s="18" t="s">
        <v>281</v>
      </c>
      <c r="H253" s="18" t="s">
        <v>282</v>
      </c>
      <c r="I253" s="48">
        <v>60000</v>
      </c>
      <c r="J253" s="48"/>
      <c r="K253" s="48"/>
      <c r="L253" s="48"/>
      <c r="M253" s="48"/>
      <c r="N253" s="48">
        <v>60000</v>
      </c>
      <c r="O253" s="48"/>
      <c r="P253" s="48"/>
      <c r="Q253" s="48"/>
      <c r="R253" s="48"/>
      <c r="S253" s="48"/>
      <c r="T253" s="48"/>
      <c r="U253" s="48"/>
      <c r="V253" s="48"/>
      <c r="W253" s="48"/>
    </row>
    <row r="254" ht="32.9" customHeight="true" spans="1:23">
      <c r="A254" s="18" t="s">
        <v>538</v>
      </c>
      <c r="B254" s="155" t="s">
        <v>685</v>
      </c>
      <c r="C254" s="18" t="s">
        <v>684</v>
      </c>
      <c r="D254" s="18" t="s">
        <v>69</v>
      </c>
      <c r="E254" s="18" t="s">
        <v>142</v>
      </c>
      <c r="F254" s="18" t="s">
        <v>549</v>
      </c>
      <c r="G254" s="18" t="s">
        <v>316</v>
      </c>
      <c r="H254" s="18" t="s">
        <v>317</v>
      </c>
      <c r="I254" s="48">
        <v>14000</v>
      </c>
      <c r="J254" s="48"/>
      <c r="K254" s="48"/>
      <c r="L254" s="48"/>
      <c r="M254" s="48"/>
      <c r="N254" s="48">
        <v>14000</v>
      </c>
      <c r="O254" s="48"/>
      <c r="P254" s="48"/>
      <c r="Q254" s="48"/>
      <c r="R254" s="48"/>
      <c r="S254" s="48"/>
      <c r="T254" s="48"/>
      <c r="U254" s="48"/>
      <c r="V254" s="48"/>
      <c r="W254" s="48"/>
    </row>
    <row r="255" ht="32.9" customHeight="true" spans="1:23">
      <c r="A255" s="18"/>
      <c r="B255" s="18"/>
      <c r="C255" s="18" t="s">
        <v>686</v>
      </c>
      <c r="D255" s="18"/>
      <c r="E255" s="18"/>
      <c r="F255" s="18"/>
      <c r="G255" s="18"/>
      <c r="H255" s="18"/>
      <c r="I255" s="48">
        <v>1392694</v>
      </c>
      <c r="J255" s="48"/>
      <c r="K255" s="48"/>
      <c r="L255" s="48"/>
      <c r="M255" s="48"/>
      <c r="N255" s="48">
        <v>1392694</v>
      </c>
      <c r="O255" s="48"/>
      <c r="P255" s="48"/>
      <c r="Q255" s="48"/>
      <c r="R255" s="48"/>
      <c r="S255" s="48"/>
      <c r="T255" s="48"/>
      <c r="U255" s="48"/>
      <c r="V255" s="48"/>
      <c r="W255" s="48"/>
    </row>
    <row r="256" ht="32.9" customHeight="true" spans="1:23">
      <c r="A256" s="18" t="s">
        <v>559</v>
      </c>
      <c r="B256" s="155" t="s">
        <v>687</v>
      </c>
      <c r="C256" s="18" t="s">
        <v>686</v>
      </c>
      <c r="D256" s="18" t="s">
        <v>69</v>
      </c>
      <c r="E256" s="18" t="s">
        <v>132</v>
      </c>
      <c r="F256" s="18" t="s">
        <v>481</v>
      </c>
      <c r="G256" s="18" t="s">
        <v>277</v>
      </c>
      <c r="H256" s="18" t="s">
        <v>278</v>
      </c>
      <c r="I256" s="48">
        <v>41405</v>
      </c>
      <c r="J256" s="48"/>
      <c r="K256" s="48"/>
      <c r="L256" s="48"/>
      <c r="M256" s="48"/>
      <c r="N256" s="48">
        <v>41405</v>
      </c>
      <c r="O256" s="48"/>
      <c r="P256" s="48"/>
      <c r="Q256" s="48"/>
      <c r="R256" s="48"/>
      <c r="S256" s="48"/>
      <c r="T256" s="48"/>
      <c r="U256" s="48"/>
      <c r="V256" s="48"/>
      <c r="W256" s="48"/>
    </row>
    <row r="257" ht="32.9" customHeight="true" spans="1:23">
      <c r="A257" s="18" t="s">
        <v>559</v>
      </c>
      <c r="B257" s="155" t="s">
        <v>687</v>
      </c>
      <c r="C257" s="18" t="s">
        <v>686</v>
      </c>
      <c r="D257" s="18" t="s">
        <v>69</v>
      </c>
      <c r="E257" s="18" t="s">
        <v>132</v>
      </c>
      <c r="F257" s="18" t="s">
        <v>481</v>
      </c>
      <c r="G257" s="18" t="s">
        <v>281</v>
      </c>
      <c r="H257" s="18" t="s">
        <v>282</v>
      </c>
      <c r="I257" s="48">
        <v>107792</v>
      </c>
      <c r="J257" s="48"/>
      <c r="K257" s="48"/>
      <c r="L257" s="48"/>
      <c r="M257" s="48"/>
      <c r="N257" s="48">
        <v>107792</v>
      </c>
      <c r="O257" s="48"/>
      <c r="P257" s="48"/>
      <c r="Q257" s="48"/>
      <c r="R257" s="48"/>
      <c r="S257" s="48"/>
      <c r="T257" s="48"/>
      <c r="U257" s="48"/>
      <c r="V257" s="48"/>
      <c r="W257" s="48"/>
    </row>
    <row r="258" ht="32.9" customHeight="true" spans="1:23">
      <c r="A258" s="18" t="s">
        <v>559</v>
      </c>
      <c r="B258" s="155" t="s">
        <v>687</v>
      </c>
      <c r="C258" s="18" t="s">
        <v>686</v>
      </c>
      <c r="D258" s="18" t="s">
        <v>69</v>
      </c>
      <c r="E258" s="18" t="s">
        <v>132</v>
      </c>
      <c r="F258" s="18" t="s">
        <v>481</v>
      </c>
      <c r="G258" s="18" t="s">
        <v>625</v>
      </c>
      <c r="H258" s="18" t="s">
        <v>626</v>
      </c>
      <c r="I258" s="48">
        <v>22900</v>
      </c>
      <c r="J258" s="48"/>
      <c r="K258" s="48"/>
      <c r="L258" s="48"/>
      <c r="M258" s="48"/>
      <c r="N258" s="48">
        <v>22900</v>
      </c>
      <c r="O258" s="48"/>
      <c r="P258" s="48"/>
      <c r="Q258" s="48"/>
      <c r="R258" s="48"/>
      <c r="S258" s="48"/>
      <c r="T258" s="48"/>
      <c r="U258" s="48"/>
      <c r="V258" s="48"/>
      <c r="W258" s="48"/>
    </row>
    <row r="259" ht="32.9" customHeight="true" spans="1:23">
      <c r="A259" s="18" t="s">
        <v>559</v>
      </c>
      <c r="B259" s="155" t="s">
        <v>687</v>
      </c>
      <c r="C259" s="18" t="s">
        <v>686</v>
      </c>
      <c r="D259" s="18" t="s">
        <v>69</v>
      </c>
      <c r="E259" s="18" t="s">
        <v>132</v>
      </c>
      <c r="F259" s="18" t="s">
        <v>481</v>
      </c>
      <c r="G259" s="18" t="s">
        <v>316</v>
      </c>
      <c r="H259" s="18" t="s">
        <v>317</v>
      </c>
      <c r="I259" s="48">
        <v>4782</v>
      </c>
      <c r="J259" s="48"/>
      <c r="K259" s="48"/>
      <c r="L259" s="48"/>
      <c r="M259" s="48"/>
      <c r="N259" s="48">
        <v>4782</v>
      </c>
      <c r="O259" s="48"/>
      <c r="P259" s="48"/>
      <c r="Q259" s="48"/>
      <c r="R259" s="48"/>
      <c r="S259" s="48"/>
      <c r="T259" s="48"/>
      <c r="U259" s="48"/>
      <c r="V259" s="48"/>
      <c r="W259" s="48"/>
    </row>
    <row r="260" ht="32.9" customHeight="true" spans="1:23">
      <c r="A260" s="18" t="s">
        <v>559</v>
      </c>
      <c r="B260" s="155" t="s">
        <v>687</v>
      </c>
      <c r="C260" s="18" t="s">
        <v>686</v>
      </c>
      <c r="D260" s="18" t="s">
        <v>69</v>
      </c>
      <c r="E260" s="18" t="s">
        <v>132</v>
      </c>
      <c r="F260" s="18" t="s">
        <v>481</v>
      </c>
      <c r="G260" s="18" t="s">
        <v>283</v>
      </c>
      <c r="H260" s="18" t="s">
        <v>284</v>
      </c>
      <c r="I260" s="48">
        <v>1650</v>
      </c>
      <c r="J260" s="48"/>
      <c r="K260" s="48"/>
      <c r="L260" s="48"/>
      <c r="M260" s="48"/>
      <c r="N260" s="48">
        <v>1650</v>
      </c>
      <c r="O260" s="48"/>
      <c r="P260" s="48"/>
      <c r="Q260" s="48"/>
      <c r="R260" s="48"/>
      <c r="S260" s="48"/>
      <c r="T260" s="48"/>
      <c r="U260" s="48"/>
      <c r="V260" s="48"/>
      <c r="W260" s="48"/>
    </row>
    <row r="261" ht="32.9" customHeight="true" spans="1:23">
      <c r="A261" s="18" t="s">
        <v>559</v>
      </c>
      <c r="B261" s="155" t="s">
        <v>687</v>
      </c>
      <c r="C261" s="18" t="s">
        <v>686</v>
      </c>
      <c r="D261" s="18" t="s">
        <v>69</v>
      </c>
      <c r="E261" s="18" t="s">
        <v>132</v>
      </c>
      <c r="F261" s="18" t="s">
        <v>481</v>
      </c>
      <c r="G261" s="18" t="s">
        <v>254</v>
      </c>
      <c r="H261" s="18" t="s">
        <v>255</v>
      </c>
      <c r="I261" s="48">
        <v>120000</v>
      </c>
      <c r="J261" s="48"/>
      <c r="K261" s="48"/>
      <c r="L261" s="48"/>
      <c r="M261" s="48"/>
      <c r="N261" s="48">
        <v>120000</v>
      </c>
      <c r="O261" s="48"/>
      <c r="P261" s="48"/>
      <c r="Q261" s="48"/>
      <c r="R261" s="48"/>
      <c r="S261" s="48"/>
      <c r="T261" s="48"/>
      <c r="U261" s="48"/>
      <c r="V261" s="48"/>
      <c r="W261" s="48"/>
    </row>
    <row r="262" ht="32.9" customHeight="true" spans="1:23">
      <c r="A262" s="18" t="s">
        <v>559</v>
      </c>
      <c r="B262" s="155" t="s">
        <v>687</v>
      </c>
      <c r="C262" s="18" t="s">
        <v>686</v>
      </c>
      <c r="D262" s="18" t="s">
        <v>69</v>
      </c>
      <c r="E262" s="18" t="s">
        <v>132</v>
      </c>
      <c r="F262" s="18" t="s">
        <v>481</v>
      </c>
      <c r="G262" s="18" t="s">
        <v>629</v>
      </c>
      <c r="H262" s="18" t="s">
        <v>630</v>
      </c>
      <c r="I262" s="48">
        <v>1094165</v>
      </c>
      <c r="J262" s="48"/>
      <c r="K262" s="48"/>
      <c r="L262" s="48"/>
      <c r="M262" s="48"/>
      <c r="N262" s="48">
        <v>1094165</v>
      </c>
      <c r="O262" s="48"/>
      <c r="P262" s="48"/>
      <c r="Q262" s="48"/>
      <c r="R262" s="48"/>
      <c r="S262" s="48"/>
      <c r="T262" s="48"/>
      <c r="U262" s="48"/>
      <c r="V262" s="48"/>
      <c r="W262" s="48"/>
    </row>
    <row r="263" ht="32.9" customHeight="true" spans="1:23">
      <c r="A263" s="18"/>
      <c r="B263" s="18"/>
      <c r="C263" s="18" t="s">
        <v>688</v>
      </c>
      <c r="D263" s="18"/>
      <c r="E263" s="18"/>
      <c r="F263" s="18"/>
      <c r="G263" s="18"/>
      <c r="H263" s="18"/>
      <c r="I263" s="48">
        <v>383123.5</v>
      </c>
      <c r="J263" s="48"/>
      <c r="K263" s="48"/>
      <c r="L263" s="48"/>
      <c r="M263" s="48"/>
      <c r="N263" s="48">
        <v>383123.5</v>
      </c>
      <c r="O263" s="48"/>
      <c r="P263" s="48"/>
      <c r="Q263" s="48"/>
      <c r="R263" s="48"/>
      <c r="S263" s="48"/>
      <c r="T263" s="48"/>
      <c r="U263" s="48"/>
      <c r="V263" s="48"/>
      <c r="W263" s="48"/>
    </row>
    <row r="264" ht="32.9" customHeight="true" spans="1:23">
      <c r="A264" s="18" t="s">
        <v>559</v>
      </c>
      <c r="B264" s="155" t="s">
        <v>689</v>
      </c>
      <c r="C264" s="18" t="s">
        <v>688</v>
      </c>
      <c r="D264" s="18" t="s">
        <v>69</v>
      </c>
      <c r="E264" s="18" t="s">
        <v>138</v>
      </c>
      <c r="F264" s="18" t="s">
        <v>357</v>
      </c>
      <c r="G264" s="18" t="s">
        <v>277</v>
      </c>
      <c r="H264" s="18" t="s">
        <v>278</v>
      </c>
      <c r="I264" s="48">
        <v>62139.5</v>
      </c>
      <c r="J264" s="48"/>
      <c r="K264" s="48"/>
      <c r="L264" s="48"/>
      <c r="M264" s="48"/>
      <c r="N264" s="48">
        <v>62139.5</v>
      </c>
      <c r="O264" s="48"/>
      <c r="P264" s="48"/>
      <c r="Q264" s="48"/>
      <c r="R264" s="48"/>
      <c r="S264" s="48"/>
      <c r="T264" s="48"/>
      <c r="U264" s="48"/>
      <c r="V264" s="48"/>
      <c r="W264" s="48"/>
    </row>
    <row r="265" ht="32.9" customHeight="true" spans="1:23">
      <c r="A265" s="18" t="s">
        <v>559</v>
      </c>
      <c r="B265" s="155" t="s">
        <v>689</v>
      </c>
      <c r="C265" s="18" t="s">
        <v>688</v>
      </c>
      <c r="D265" s="18" t="s">
        <v>69</v>
      </c>
      <c r="E265" s="18" t="s">
        <v>138</v>
      </c>
      <c r="F265" s="18" t="s">
        <v>357</v>
      </c>
      <c r="G265" s="18" t="s">
        <v>281</v>
      </c>
      <c r="H265" s="18" t="s">
        <v>282</v>
      </c>
      <c r="I265" s="48">
        <v>290984</v>
      </c>
      <c r="J265" s="48"/>
      <c r="K265" s="48"/>
      <c r="L265" s="48"/>
      <c r="M265" s="48"/>
      <c r="N265" s="48">
        <v>290984</v>
      </c>
      <c r="O265" s="48"/>
      <c r="P265" s="48"/>
      <c r="Q265" s="48"/>
      <c r="R265" s="48"/>
      <c r="S265" s="48"/>
      <c r="T265" s="48"/>
      <c r="U265" s="48"/>
      <c r="V265" s="48"/>
      <c r="W265" s="48"/>
    </row>
    <row r="266" ht="32.9" customHeight="true" spans="1:23">
      <c r="A266" s="18" t="s">
        <v>559</v>
      </c>
      <c r="B266" s="155" t="s">
        <v>689</v>
      </c>
      <c r="C266" s="18" t="s">
        <v>688</v>
      </c>
      <c r="D266" s="18" t="s">
        <v>69</v>
      </c>
      <c r="E266" s="18" t="s">
        <v>138</v>
      </c>
      <c r="F266" s="18" t="s">
        <v>357</v>
      </c>
      <c r="G266" s="18" t="s">
        <v>283</v>
      </c>
      <c r="H266" s="18" t="s">
        <v>284</v>
      </c>
      <c r="I266" s="48">
        <v>30000</v>
      </c>
      <c r="J266" s="48"/>
      <c r="K266" s="48"/>
      <c r="L266" s="48"/>
      <c r="M266" s="48"/>
      <c r="N266" s="48">
        <v>30000</v>
      </c>
      <c r="O266" s="48"/>
      <c r="P266" s="48"/>
      <c r="Q266" s="48"/>
      <c r="R266" s="48"/>
      <c r="S266" s="48"/>
      <c r="T266" s="48"/>
      <c r="U266" s="48"/>
      <c r="V266" s="48"/>
      <c r="W266" s="48"/>
    </row>
    <row r="267" ht="32.9" customHeight="true" spans="1:23">
      <c r="A267" s="18"/>
      <c r="B267" s="18"/>
      <c r="C267" s="18" t="s">
        <v>690</v>
      </c>
      <c r="D267" s="18"/>
      <c r="E267" s="18"/>
      <c r="F267" s="18"/>
      <c r="G267" s="18"/>
      <c r="H267" s="18"/>
      <c r="I267" s="48">
        <v>198867.34</v>
      </c>
      <c r="J267" s="48"/>
      <c r="K267" s="48"/>
      <c r="L267" s="48"/>
      <c r="M267" s="48"/>
      <c r="N267" s="48">
        <v>198867.34</v>
      </c>
      <c r="O267" s="48"/>
      <c r="P267" s="48"/>
      <c r="Q267" s="48"/>
      <c r="R267" s="48"/>
      <c r="S267" s="48"/>
      <c r="T267" s="48"/>
      <c r="U267" s="48"/>
      <c r="V267" s="48"/>
      <c r="W267" s="48"/>
    </row>
    <row r="268" ht="32.9" customHeight="true" spans="1:23">
      <c r="A268" s="18" t="s">
        <v>538</v>
      </c>
      <c r="B268" s="155" t="s">
        <v>691</v>
      </c>
      <c r="C268" s="18" t="s">
        <v>690</v>
      </c>
      <c r="D268" s="18" t="s">
        <v>69</v>
      </c>
      <c r="E268" s="18" t="s">
        <v>142</v>
      </c>
      <c r="F268" s="18" t="s">
        <v>549</v>
      </c>
      <c r="G268" s="18" t="s">
        <v>275</v>
      </c>
      <c r="H268" s="18" t="s">
        <v>276</v>
      </c>
      <c r="I268" s="48">
        <v>5000</v>
      </c>
      <c r="J268" s="48"/>
      <c r="K268" s="48"/>
      <c r="L268" s="48"/>
      <c r="M268" s="48"/>
      <c r="N268" s="48">
        <v>5000</v>
      </c>
      <c r="O268" s="48"/>
      <c r="P268" s="48"/>
      <c r="Q268" s="48"/>
      <c r="R268" s="48"/>
      <c r="S268" s="48"/>
      <c r="T268" s="48"/>
      <c r="U268" s="48"/>
      <c r="V268" s="48"/>
      <c r="W268" s="48"/>
    </row>
    <row r="269" ht="32.9" customHeight="true" spans="1:23">
      <c r="A269" s="18" t="s">
        <v>538</v>
      </c>
      <c r="B269" s="155" t="s">
        <v>691</v>
      </c>
      <c r="C269" s="18" t="s">
        <v>690</v>
      </c>
      <c r="D269" s="18" t="s">
        <v>69</v>
      </c>
      <c r="E269" s="18" t="s">
        <v>142</v>
      </c>
      <c r="F269" s="18" t="s">
        <v>549</v>
      </c>
      <c r="G269" s="18" t="s">
        <v>341</v>
      </c>
      <c r="H269" s="18" t="s">
        <v>342</v>
      </c>
      <c r="I269" s="48">
        <v>5000</v>
      </c>
      <c r="J269" s="48"/>
      <c r="K269" s="48"/>
      <c r="L269" s="48"/>
      <c r="M269" s="48"/>
      <c r="N269" s="48">
        <v>5000</v>
      </c>
      <c r="O269" s="48"/>
      <c r="P269" s="48"/>
      <c r="Q269" s="48"/>
      <c r="R269" s="48"/>
      <c r="S269" s="48"/>
      <c r="T269" s="48"/>
      <c r="U269" s="48"/>
      <c r="V269" s="48"/>
      <c r="W269" s="48"/>
    </row>
    <row r="270" ht="32.9" customHeight="true" spans="1:23">
      <c r="A270" s="18" t="s">
        <v>538</v>
      </c>
      <c r="B270" s="155" t="s">
        <v>691</v>
      </c>
      <c r="C270" s="18" t="s">
        <v>690</v>
      </c>
      <c r="D270" s="18" t="s">
        <v>69</v>
      </c>
      <c r="E270" s="18" t="s">
        <v>142</v>
      </c>
      <c r="F270" s="18" t="s">
        <v>549</v>
      </c>
      <c r="G270" s="18" t="s">
        <v>277</v>
      </c>
      <c r="H270" s="18" t="s">
        <v>278</v>
      </c>
      <c r="I270" s="48">
        <v>30996</v>
      </c>
      <c r="J270" s="48"/>
      <c r="K270" s="48"/>
      <c r="L270" s="48"/>
      <c r="M270" s="48"/>
      <c r="N270" s="48">
        <v>30996</v>
      </c>
      <c r="O270" s="48"/>
      <c r="P270" s="48"/>
      <c r="Q270" s="48"/>
      <c r="R270" s="48"/>
      <c r="S270" s="48"/>
      <c r="T270" s="48"/>
      <c r="U270" s="48"/>
      <c r="V270" s="48"/>
      <c r="W270" s="48"/>
    </row>
    <row r="271" ht="32.9" customHeight="true" spans="1:23">
      <c r="A271" s="18" t="s">
        <v>538</v>
      </c>
      <c r="B271" s="155" t="s">
        <v>691</v>
      </c>
      <c r="C271" s="18" t="s">
        <v>690</v>
      </c>
      <c r="D271" s="18" t="s">
        <v>69</v>
      </c>
      <c r="E271" s="18" t="s">
        <v>142</v>
      </c>
      <c r="F271" s="18" t="s">
        <v>549</v>
      </c>
      <c r="G271" s="18" t="s">
        <v>281</v>
      </c>
      <c r="H271" s="18" t="s">
        <v>282</v>
      </c>
      <c r="I271" s="48">
        <v>43470</v>
      </c>
      <c r="J271" s="48"/>
      <c r="K271" s="48"/>
      <c r="L271" s="48"/>
      <c r="M271" s="48"/>
      <c r="N271" s="48">
        <v>43470</v>
      </c>
      <c r="O271" s="48"/>
      <c r="P271" s="48"/>
      <c r="Q271" s="48"/>
      <c r="R271" s="48"/>
      <c r="S271" s="48"/>
      <c r="T271" s="48"/>
      <c r="U271" s="48"/>
      <c r="V271" s="48"/>
      <c r="W271" s="48"/>
    </row>
    <row r="272" ht="32.9" customHeight="true" spans="1:23">
      <c r="A272" s="18" t="s">
        <v>538</v>
      </c>
      <c r="B272" s="155" t="s">
        <v>691</v>
      </c>
      <c r="C272" s="18" t="s">
        <v>690</v>
      </c>
      <c r="D272" s="18" t="s">
        <v>69</v>
      </c>
      <c r="E272" s="18" t="s">
        <v>142</v>
      </c>
      <c r="F272" s="18" t="s">
        <v>549</v>
      </c>
      <c r="G272" s="18" t="s">
        <v>316</v>
      </c>
      <c r="H272" s="18" t="s">
        <v>317</v>
      </c>
      <c r="I272" s="48">
        <v>93534</v>
      </c>
      <c r="J272" s="48"/>
      <c r="K272" s="48"/>
      <c r="L272" s="48"/>
      <c r="M272" s="48"/>
      <c r="N272" s="48">
        <v>93534</v>
      </c>
      <c r="O272" s="48"/>
      <c r="P272" s="48"/>
      <c r="Q272" s="48"/>
      <c r="R272" s="48"/>
      <c r="S272" s="48"/>
      <c r="T272" s="48"/>
      <c r="U272" s="48"/>
      <c r="V272" s="48"/>
      <c r="W272" s="48"/>
    </row>
    <row r="273" ht="32.9" customHeight="true" spans="1:23">
      <c r="A273" s="18" t="s">
        <v>538</v>
      </c>
      <c r="B273" s="155" t="s">
        <v>691</v>
      </c>
      <c r="C273" s="18" t="s">
        <v>690</v>
      </c>
      <c r="D273" s="18" t="s">
        <v>69</v>
      </c>
      <c r="E273" s="18" t="s">
        <v>142</v>
      </c>
      <c r="F273" s="18" t="s">
        <v>549</v>
      </c>
      <c r="G273" s="18" t="s">
        <v>283</v>
      </c>
      <c r="H273" s="18" t="s">
        <v>284</v>
      </c>
      <c r="I273" s="48">
        <v>5000</v>
      </c>
      <c r="J273" s="48"/>
      <c r="K273" s="48"/>
      <c r="L273" s="48"/>
      <c r="M273" s="48"/>
      <c r="N273" s="48">
        <v>5000</v>
      </c>
      <c r="O273" s="48"/>
      <c r="P273" s="48"/>
      <c r="Q273" s="48"/>
      <c r="R273" s="48"/>
      <c r="S273" s="48"/>
      <c r="T273" s="48"/>
      <c r="U273" s="48"/>
      <c r="V273" s="48"/>
      <c r="W273" s="48"/>
    </row>
    <row r="274" ht="32.9" customHeight="true" spans="1:23">
      <c r="A274" s="18" t="s">
        <v>538</v>
      </c>
      <c r="B274" s="155" t="s">
        <v>691</v>
      </c>
      <c r="C274" s="18" t="s">
        <v>690</v>
      </c>
      <c r="D274" s="18" t="s">
        <v>69</v>
      </c>
      <c r="E274" s="18" t="s">
        <v>142</v>
      </c>
      <c r="F274" s="18" t="s">
        <v>549</v>
      </c>
      <c r="G274" s="18" t="s">
        <v>254</v>
      </c>
      <c r="H274" s="18" t="s">
        <v>255</v>
      </c>
      <c r="I274" s="48">
        <v>867.34</v>
      </c>
      <c r="J274" s="48"/>
      <c r="K274" s="48"/>
      <c r="L274" s="48"/>
      <c r="M274" s="48"/>
      <c r="N274" s="48">
        <v>867.34</v>
      </c>
      <c r="O274" s="48"/>
      <c r="P274" s="48"/>
      <c r="Q274" s="48"/>
      <c r="R274" s="48"/>
      <c r="S274" s="48"/>
      <c r="T274" s="48"/>
      <c r="U274" s="48"/>
      <c r="V274" s="48"/>
      <c r="W274" s="48"/>
    </row>
    <row r="275" ht="32.9" customHeight="true" spans="1:23">
      <c r="A275" s="18" t="s">
        <v>538</v>
      </c>
      <c r="B275" s="155" t="s">
        <v>691</v>
      </c>
      <c r="C275" s="18" t="s">
        <v>690</v>
      </c>
      <c r="D275" s="18" t="s">
        <v>69</v>
      </c>
      <c r="E275" s="18" t="s">
        <v>142</v>
      </c>
      <c r="F275" s="18" t="s">
        <v>549</v>
      </c>
      <c r="G275" s="18" t="s">
        <v>629</v>
      </c>
      <c r="H275" s="18" t="s">
        <v>630</v>
      </c>
      <c r="I275" s="48">
        <v>15000</v>
      </c>
      <c r="J275" s="48"/>
      <c r="K275" s="48"/>
      <c r="L275" s="48"/>
      <c r="M275" s="48"/>
      <c r="N275" s="48">
        <v>15000</v>
      </c>
      <c r="O275" s="48"/>
      <c r="P275" s="48"/>
      <c r="Q275" s="48"/>
      <c r="R275" s="48"/>
      <c r="S275" s="48"/>
      <c r="T275" s="48"/>
      <c r="U275" s="48"/>
      <c r="V275" s="48"/>
      <c r="W275" s="48"/>
    </row>
    <row r="276" ht="32.9" customHeight="true" spans="1:23">
      <c r="A276" s="18"/>
      <c r="B276" s="18"/>
      <c r="C276" s="18" t="s">
        <v>692</v>
      </c>
      <c r="D276" s="18"/>
      <c r="E276" s="18"/>
      <c r="F276" s="18"/>
      <c r="G276" s="18"/>
      <c r="H276" s="18"/>
      <c r="I276" s="48">
        <v>3300000</v>
      </c>
      <c r="J276" s="48"/>
      <c r="K276" s="48"/>
      <c r="L276" s="48"/>
      <c r="M276" s="48"/>
      <c r="N276" s="48">
        <v>3300000</v>
      </c>
      <c r="O276" s="48"/>
      <c r="P276" s="48"/>
      <c r="Q276" s="48"/>
      <c r="R276" s="48"/>
      <c r="S276" s="48"/>
      <c r="T276" s="48"/>
      <c r="U276" s="48"/>
      <c r="V276" s="48"/>
      <c r="W276" s="48"/>
    </row>
    <row r="277" ht="32.9" customHeight="true" spans="1:23">
      <c r="A277" s="18" t="s">
        <v>559</v>
      </c>
      <c r="B277" s="155" t="s">
        <v>693</v>
      </c>
      <c r="C277" s="18" t="s">
        <v>692</v>
      </c>
      <c r="D277" s="18" t="s">
        <v>69</v>
      </c>
      <c r="E277" s="18" t="s">
        <v>126</v>
      </c>
      <c r="F277" s="18" t="s">
        <v>542</v>
      </c>
      <c r="G277" s="18" t="s">
        <v>287</v>
      </c>
      <c r="H277" s="18" t="s">
        <v>288</v>
      </c>
      <c r="I277" s="48">
        <v>800000</v>
      </c>
      <c r="J277" s="48"/>
      <c r="K277" s="48"/>
      <c r="L277" s="48"/>
      <c r="M277" s="48"/>
      <c r="N277" s="48">
        <v>800000</v>
      </c>
      <c r="O277" s="48"/>
      <c r="P277" s="48"/>
      <c r="Q277" s="48"/>
      <c r="R277" s="48"/>
      <c r="S277" s="48"/>
      <c r="T277" s="48"/>
      <c r="U277" s="48"/>
      <c r="V277" s="48"/>
      <c r="W277" s="48"/>
    </row>
    <row r="278" ht="32.9" customHeight="true" spans="1:23">
      <c r="A278" s="18" t="s">
        <v>559</v>
      </c>
      <c r="B278" s="155" t="s">
        <v>693</v>
      </c>
      <c r="C278" s="18" t="s">
        <v>692</v>
      </c>
      <c r="D278" s="18" t="s">
        <v>69</v>
      </c>
      <c r="E278" s="18" t="s">
        <v>126</v>
      </c>
      <c r="F278" s="18" t="s">
        <v>542</v>
      </c>
      <c r="G278" s="18" t="s">
        <v>629</v>
      </c>
      <c r="H278" s="18" t="s">
        <v>630</v>
      </c>
      <c r="I278" s="48">
        <v>2500000</v>
      </c>
      <c r="J278" s="48"/>
      <c r="K278" s="48"/>
      <c r="L278" s="48"/>
      <c r="M278" s="48"/>
      <c r="N278" s="48">
        <v>2500000</v>
      </c>
      <c r="O278" s="48"/>
      <c r="P278" s="48"/>
      <c r="Q278" s="48"/>
      <c r="R278" s="48"/>
      <c r="S278" s="48"/>
      <c r="T278" s="48"/>
      <c r="U278" s="48"/>
      <c r="V278" s="48"/>
      <c r="W278" s="48"/>
    </row>
    <row r="279" ht="32.9" customHeight="true" spans="1:23">
      <c r="A279" s="18"/>
      <c r="B279" s="18"/>
      <c r="C279" s="18" t="s">
        <v>694</v>
      </c>
      <c r="D279" s="18"/>
      <c r="E279" s="18"/>
      <c r="F279" s="18"/>
      <c r="G279" s="18"/>
      <c r="H279" s="18"/>
      <c r="I279" s="48">
        <v>44000</v>
      </c>
      <c r="J279" s="48"/>
      <c r="K279" s="48"/>
      <c r="L279" s="48"/>
      <c r="M279" s="48"/>
      <c r="N279" s="48">
        <v>44000</v>
      </c>
      <c r="O279" s="48"/>
      <c r="P279" s="48"/>
      <c r="Q279" s="48"/>
      <c r="R279" s="48"/>
      <c r="S279" s="48"/>
      <c r="T279" s="48"/>
      <c r="U279" s="48"/>
      <c r="V279" s="48"/>
      <c r="W279" s="48"/>
    </row>
    <row r="280" ht="32.9" customHeight="true" spans="1:23">
      <c r="A280" s="18" t="s">
        <v>559</v>
      </c>
      <c r="B280" s="155" t="s">
        <v>695</v>
      </c>
      <c r="C280" s="18" t="s">
        <v>694</v>
      </c>
      <c r="D280" s="18" t="s">
        <v>69</v>
      </c>
      <c r="E280" s="18" t="s">
        <v>154</v>
      </c>
      <c r="F280" s="18" t="s">
        <v>569</v>
      </c>
      <c r="G280" s="18" t="s">
        <v>287</v>
      </c>
      <c r="H280" s="18" t="s">
        <v>288</v>
      </c>
      <c r="I280" s="48">
        <v>44000</v>
      </c>
      <c r="J280" s="48"/>
      <c r="K280" s="48"/>
      <c r="L280" s="48"/>
      <c r="M280" s="48"/>
      <c r="N280" s="48">
        <v>44000</v>
      </c>
      <c r="O280" s="48"/>
      <c r="P280" s="48"/>
      <c r="Q280" s="48"/>
      <c r="R280" s="48"/>
      <c r="S280" s="48"/>
      <c r="T280" s="48"/>
      <c r="U280" s="48"/>
      <c r="V280" s="48"/>
      <c r="W280" s="48"/>
    </row>
    <row r="281" ht="32.9" customHeight="true" spans="1:23">
      <c r="A281" s="18"/>
      <c r="B281" s="18"/>
      <c r="C281" s="18" t="s">
        <v>696</v>
      </c>
      <c r="D281" s="18"/>
      <c r="E281" s="18"/>
      <c r="F281" s="18"/>
      <c r="G281" s="18"/>
      <c r="H281" s="18"/>
      <c r="I281" s="48">
        <v>499000</v>
      </c>
      <c r="J281" s="48"/>
      <c r="K281" s="48"/>
      <c r="L281" s="48"/>
      <c r="M281" s="48"/>
      <c r="N281" s="48">
        <v>499000</v>
      </c>
      <c r="O281" s="48"/>
      <c r="P281" s="48"/>
      <c r="Q281" s="48"/>
      <c r="R281" s="48"/>
      <c r="S281" s="48"/>
      <c r="T281" s="48"/>
      <c r="U281" s="48"/>
      <c r="V281" s="48"/>
      <c r="W281" s="48"/>
    </row>
    <row r="282" ht="32.9" customHeight="true" spans="1:23">
      <c r="A282" s="18" t="s">
        <v>559</v>
      </c>
      <c r="B282" s="155" t="s">
        <v>697</v>
      </c>
      <c r="C282" s="18" t="s">
        <v>696</v>
      </c>
      <c r="D282" s="18" t="s">
        <v>69</v>
      </c>
      <c r="E282" s="18" t="s">
        <v>154</v>
      </c>
      <c r="F282" s="18" t="s">
        <v>569</v>
      </c>
      <c r="G282" s="18" t="s">
        <v>625</v>
      </c>
      <c r="H282" s="18" t="s">
        <v>626</v>
      </c>
      <c r="I282" s="48">
        <v>499000</v>
      </c>
      <c r="J282" s="48"/>
      <c r="K282" s="48"/>
      <c r="L282" s="48"/>
      <c r="M282" s="48"/>
      <c r="N282" s="48">
        <v>499000</v>
      </c>
      <c r="O282" s="48"/>
      <c r="P282" s="48"/>
      <c r="Q282" s="48"/>
      <c r="R282" s="48"/>
      <c r="S282" s="48"/>
      <c r="T282" s="48"/>
      <c r="U282" s="48"/>
      <c r="V282" s="48"/>
      <c r="W282" s="48"/>
    </row>
    <row r="283" ht="32.9" customHeight="true" spans="1:23">
      <c r="A283" s="18"/>
      <c r="B283" s="18"/>
      <c r="C283" s="18" t="s">
        <v>698</v>
      </c>
      <c r="D283" s="18"/>
      <c r="E283" s="18"/>
      <c r="F283" s="18"/>
      <c r="G283" s="18"/>
      <c r="H283" s="18"/>
      <c r="I283" s="48">
        <v>5120429.47</v>
      </c>
      <c r="J283" s="48"/>
      <c r="K283" s="48"/>
      <c r="L283" s="48"/>
      <c r="M283" s="48"/>
      <c r="N283" s="48">
        <v>5120429.47</v>
      </c>
      <c r="O283" s="48"/>
      <c r="P283" s="48"/>
      <c r="Q283" s="48"/>
      <c r="R283" s="48"/>
      <c r="S283" s="48"/>
      <c r="T283" s="48"/>
      <c r="U283" s="48"/>
      <c r="V283" s="48"/>
      <c r="W283" s="48"/>
    </row>
    <row r="284" ht="32.9" customHeight="true" spans="1:23">
      <c r="A284" s="18" t="s">
        <v>567</v>
      </c>
      <c r="B284" s="155" t="s">
        <v>699</v>
      </c>
      <c r="C284" s="18" t="s">
        <v>698</v>
      </c>
      <c r="D284" s="18" t="s">
        <v>69</v>
      </c>
      <c r="E284" s="18" t="s">
        <v>141</v>
      </c>
      <c r="F284" s="18" t="s">
        <v>555</v>
      </c>
      <c r="G284" s="18" t="s">
        <v>277</v>
      </c>
      <c r="H284" s="18" t="s">
        <v>278</v>
      </c>
      <c r="I284" s="48">
        <v>22807</v>
      </c>
      <c r="J284" s="48"/>
      <c r="K284" s="48"/>
      <c r="L284" s="48"/>
      <c r="M284" s="48"/>
      <c r="N284" s="48">
        <v>22807</v>
      </c>
      <c r="O284" s="48"/>
      <c r="P284" s="48"/>
      <c r="Q284" s="48"/>
      <c r="R284" s="48"/>
      <c r="S284" s="48"/>
      <c r="T284" s="48"/>
      <c r="U284" s="48"/>
      <c r="V284" s="48"/>
      <c r="W284" s="48"/>
    </row>
    <row r="285" ht="32.9" customHeight="true" spans="1:23">
      <c r="A285" s="18" t="s">
        <v>567</v>
      </c>
      <c r="B285" s="155" t="s">
        <v>699</v>
      </c>
      <c r="C285" s="18" t="s">
        <v>698</v>
      </c>
      <c r="D285" s="18" t="s">
        <v>69</v>
      </c>
      <c r="E285" s="18" t="s">
        <v>141</v>
      </c>
      <c r="F285" s="18" t="s">
        <v>555</v>
      </c>
      <c r="G285" s="18" t="s">
        <v>281</v>
      </c>
      <c r="H285" s="18" t="s">
        <v>282</v>
      </c>
      <c r="I285" s="48">
        <v>188900</v>
      </c>
      <c r="J285" s="48"/>
      <c r="K285" s="48"/>
      <c r="L285" s="48"/>
      <c r="M285" s="48"/>
      <c r="N285" s="48">
        <v>188900</v>
      </c>
      <c r="O285" s="48"/>
      <c r="P285" s="48"/>
      <c r="Q285" s="48"/>
      <c r="R285" s="48"/>
      <c r="S285" s="48"/>
      <c r="T285" s="48"/>
      <c r="U285" s="48"/>
      <c r="V285" s="48"/>
      <c r="W285" s="48"/>
    </row>
    <row r="286" ht="32.9" customHeight="true" spans="1:23">
      <c r="A286" s="18" t="s">
        <v>567</v>
      </c>
      <c r="B286" s="155" t="s">
        <v>699</v>
      </c>
      <c r="C286" s="18" t="s">
        <v>698</v>
      </c>
      <c r="D286" s="18" t="s">
        <v>69</v>
      </c>
      <c r="E286" s="18" t="s">
        <v>141</v>
      </c>
      <c r="F286" s="18" t="s">
        <v>555</v>
      </c>
      <c r="G286" s="18" t="s">
        <v>625</v>
      </c>
      <c r="H286" s="18" t="s">
        <v>626</v>
      </c>
      <c r="I286" s="48">
        <v>1934700</v>
      </c>
      <c r="J286" s="48"/>
      <c r="K286" s="48"/>
      <c r="L286" s="48"/>
      <c r="M286" s="48"/>
      <c r="N286" s="48">
        <v>1934700</v>
      </c>
      <c r="O286" s="48"/>
      <c r="P286" s="48"/>
      <c r="Q286" s="48"/>
      <c r="R286" s="48"/>
      <c r="S286" s="48"/>
      <c r="T286" s="48"/>
      <c r="U286" s="48"/>
      <c r="V286" s="48"/>
      <c r="W286" s="48"/>
    </row>
    <row r="287" ht="32.9" customHeight="true" spans="1:23">
      <c r="A287" s="18" t="s">
        <v>567</v>
      </c>
      <c r="B287" s="155" t="s">
        <v>699</v>
      </c>
      <c r="C287" s="18" t="s">
        <v>698</v>
      </c>
      <c r="D287" s="18" t="s">
        <v>69</v>
      </c>
      <c r="E287" s="18" t="s">
        <v>141</v>
      </c>
      <c r="F287" s="18" t="s">
        <v>555</v>
      </c>
      <c r="G287" s="18" t="s">
        <v>316</v>
      </c>
      <c r="H287" s="18" t="s">
        <v>317</v>
      </c>
      <c r="I287" s="48">
        <v>769130</v>
      </c>
      <c r="J287" s="48"/>
      <c r="K287" s="48"/>
      <c r="L287" s="48"/>
      <c r="M287" s="48"/>
      <c r="N287" s="48">
        <v>769130</v>
      </c>
      <c r="O287" s="48"/>
      <c r="P287" s="48"/>
      <c r="Q287" s="48"/>
      <c r="R287" s="48"/>
      <c r="S287" s="48"/>
      <c r="T287" s="48"/>
      <c r="U287" s="48"/>
      <c r="V287" s="48"/>
      <c r="W287" s="48"/>
    </row>
    <row r="288" ht="32.9" customHeight="true" spans="1:23">
      <c r="A288" s="18" t="s">
        <v>567</v>
      </c>
      <c r="B288" s="155" t="s">
        <v>699</v>
      </c>
      <c r="C288" s="18" t="s">
        <v>698</v>
      </c>
      <c r="D288" s="18" t="s">
        <v>69</v>
      </c>
      <c r="E288" s="18" t="s">
        <v>141</v>
      </c>
      <c r="F288" s="18" t="s">
        <v>555</v>
      </c>
      <c r="G288" s="18" t="s">
        <v>283</v>
      </c>
      <c r="H288" s="18" t="s">
        <v>284</v>
      </c>
      <c r="I288" s="48">
        <v>1187993.52</v>
      </c>
      <c r="J288" s="48"/>
      <c r="K288" s="48"/>
      <c r="L288" s="48"/>
      <c r="M288" s="48"/>
      <c r="N288" s="48">
        <v>1187993.52</v>
      </c>
      <c r="O288" s="48"/>
      <c r="P288" s="48"/>
      <c r="Q288" s="48"/>
      <c r="R288" s="48"/>
      <c r="S288" s="48"/>
      <c r="T288" s="48"/>
      <c r="U288" s="48"/>
      <c r="V288" s="48"/>
      <c r="W288" s="48"/>
    </row>
    <row r="289" ht="32.9" customHeight="true" spans="1:23">
      <c r="A289" s="18" t="s">
        <v>567</v>
      </c>
      <c r="B289" s="155" t="s">
        <v>699</v>
      </c>
      <c r="C289" s="18" t="s">
        <v>698</v>
      </c>
      <c r="D289" s="18" t="s">
        <v>69</v>
      </c>
      <c r="E289" s="18" t="s">
        <v>141</v>
      </c>
      <c r="F289" s="18" t="s">
        <v>555</v>
      </c>
      <c r="G289" s="18" t="s">
        <v>239</v>
      </c>
      <c r="H289" s="18" t="s">
        <v>240</v>
      </c>
      <c r="I289" s="48">
        <v>116898.95</v>
      </c>
      <c r="J289" s="48"/>
      <c r="K289" s="48"/>
      <c r="L289" s="48"/>
      <c r="M289" s="48"/>
      <c r="N289" s="48">
        <v>116898.95</v>
      </c>
      <c r="O289" s="48"/>
      <c r="P289" s="48"/>
      <c r="Q289" s="48"/>
      <c r="R289" s="48"/>
      <c r="S289" s="48"/>
      <c r="T289" s="48"/>
      <c r="U289" s="48"/>
      <c r="V289" s="48"/>
      <c r="W289" s="48"/>
    </row>
    <row r="290" ht="32.9" customHeight="true" spans="1:23">
      <c r="A290" s="18" t="s">
        <v>567</v>
      </c>
      <c r="B290" s="155" t="s">
        <v>699</v>
      </c>
      <c r="C290" s="18" t="s">
        <v>698</v>
      </c>
      <c r="D290" s="18" t="s">
        <v>69</v>
      </c>
      <c r="E290" s="18" t="s">
        <v>141</v>
      </c>
      <c r="F290" s="18" t="s">
        <v>555</v>
      </c>
      <c r="G290" s="18" t="s">
        <v>629</v>
      </c>
      <c r="H290" s="18" t="s">
        <v>630</v>
      </c>
      <c r="I290" s="48">
        <v>900000</v>
      </c>
      <c r="J290" s="48"/>
      <c r="K290" s="48"/>
      <c r="L290" s="48"/>
      <c r="M290" s="48"/>
      <c r="N290" s="48">
        <v>900000</v>
      </c>
      <c r="O290" s="48"/>
      <c r="P290" s="48"/>
      <c r="Q290" s="48"/>
      <c r="R290" s="48"/>
      <c r="S290" s="48"/>
      <c r="T290" s="48"/>
      <c r="U290" s="48"/>
      <c r="V290" s="48"/>
      <c r="W290" s="48"/>
    </row>
    <row r="291" ht="32.9" customHeight="true" spans="1:23">
      <c r="A291" s="18"/>
      <c r="B291" s="18"/>
      <c r="C291" s="18" t="s">
        <v>700</v>
      </c>
      <c r="D291" s="18"/>
      <c r="E291" s="18"/>
      <c r="F291" s="18"/>
      <c r="G291" s="18"/>
      <c r="H291" s="18"/>
      <c r="I291" s="48">
        <v>680550</v>
      </c>
      <c r="J291" s="48"/>
      <c r="K291" s="48"/>
      <c r="L291" s="48"/>
      <c r="M291" s="48"/>
      <c r="N291" s="48">
        <v>680550</v>
      </c>
      <c r="O291" s="48"/>
      <c r="P291" s="48"/>
      <c r="Q291" s="48"/>
      <c r="R291" s="48"/>
      <c r="S291" s="48"/>
      <c r="T291" s="48"/>
      <c r="U291" s="48"/>
      <c r="V291" s="48"/>
      <c r="W291" s="48"/>
    </row>
    <row r="292" ht="32.9" customHeight="true" spans="1:23">
      <c r="A292" s="18" t="s">
        <v>567</v>
      </c>
      <c r="B292" s="155" t="s">
        <v>701</v>
      </c>
      <c r="C292" s="18" t="s">
        <v>700</v>
      </c>
      <c r="D292" s="18" t="s">
        <v>69</v>
      </c>
      <c r="E292" s="18" t="s">
        <v>154</v>
      </c>
      <c r="F292" s="18" t="s">
        <v>569</v>
      </c>
      <c r="G292" s="18" t="s">
        <v>341</v>
      </c>
      <c r="H292" s="18" t="s">
        <v>342</v>
      </c>
      <c r="I292" s="48">
        <v>9000</v>
      </c>
      <c r="J292" s="48"/>
      <c r="K292" s="48"/>
      <c r="L292" s="48"/>
      <c r="M292" s="48"/>
      <c r="N292" s="48">
        <v>9000</v>
      </c>
      <c r="O292" s="48"/>
      <c r="P292" s="48"/>
      <c r="Q292" s="48"/>
      <c r="R292" s="48"/>
      <c r="S292" s="48"/>
      <c r="T292" s="48"/>
      <c r="U292" s="48"/>
      <c r="V292" s="48"/>
      <c r="W292" s="48"/>
    </row>
    <row r="293" ht="32.9" customHeight="true" spans="1:23">
      <c r="A293" s="18" t="s">
        <v>567</v>
      </c>
      <c r="B293" s="155" t="s">
        <v>701</v>
      </c>
      <c r="C293" s="18" t="s">
        <v>700</v>
      </c>
      <c r="D293" s="18" t="s">
        <v>69</v>
      </c>
      <c r="E293" s="18" t="s">
        <v>154</v>
      </c>
      <c r="F293" s="18" t="s">
        <v>569</v>
      </c>
      <c r="G293" s="18" t="s">
        <v>281</v>
      </c>
      <c r="H293" s="18" t="s">
        <v>282</v>
      </c>
      <c r="I293" s="48">
        <v>161800</v>
      </c>
      <c r="J293" s="48"/>
      <c r="K293" s="48"/>
      <c r="L293" s="48"/>
      <c r="M293" s="48"/>
      <c r="N293" s="48">
        <v>161800</v>
      </c>
      <c r="O293" s="48"/>
      <c r="P293" s="48"/>
      <c r="Q293" s="48"/>
      <c r="R293" s="48"/>
      <c r="S293" s="48"/>
      <c r="T293" s="48"/>
      <c r="U293" s="48"/>
      <c r="V293" s="48"/>
      <c r="W293" s="48"/>
    </row>
    <row r="294" ht="32.9" customHeight="true" spans="1:23">
      <c r="A294" s="18" t="s">
        <v>567</v>
      </c>
      <c r="B294" s="155" t="s">
        <v>701</v>
      </c>
      <c r="C294" s="18" t="s">
        <v>700</v>
      </c>
      <c r="D294" s="18" t="s">
        <v>69</v>
      </c>
      <c r="E294" s="18" t="s">
        <v>154</v>
      </c>
      <c r="F294" s="18" t="s">
        <v>569</v>
      </c>
      <c r="G294" s="18" t="s">
        <v>316</v>
      </c>
      <c r="H294" s="18" t="s">
        <v>317</v>
      </c>
      <c r="I294" s="48">
        <v>132150</v>
      </c>
      <c r="J294" s="48"/>
      <c r="K294" s="48"/>
      <c r="L294" s="48"/>
      <c r="M294" s="48"/>
      <c r="N294" s="48">
        <v>132150</v>
      </c>
      <c r="O294" s="48"/>
      <c r="P294" s="48"/>
      <c r="Q294" s="48"/>
      <c r="R294" s="48"/>
      <c r="S294" s="48"/>
      <c r="T294" s="48"/>
      <c r="U294" s="48"/>
      <c r="V294" s="48"/>
      <c r="W294" s="48"/>
    </row>
    <row r="295" ht="32.9" customHeight="true" spans="1:23">
      <c r="A295" s="18" t="s">
        <v>567</v>
      </c>
      <c r="B295" s="155" t="s">
        <v>701</v>
      </c>
      <c r="C295" s="18" t="s">
        <v>700</v>
      </c>
      <c r="D295" s="18" t="s">
        <v>69</v>
      </c>
      <c r="E295" s="18" t="s">
        <v>154</v>
      </c>
      <c r="F295" s="18" t="s">
        <v>569</v>
      </c>
      <c r="G295" s="18" t="s">
        <v>283</v>
      </c>
      <c r="H295" s="18" t="s">
        <v>284</v>
      </c>
      <c r="I295" s="48">
        <v>20000</v>
      </c>
      <c r="J295" s="48"/>
      <c r="K295" s="48"/>
      <c r="L295" s="48"/>
      <c r="M295" s="48"/>
      <c r="N295" s="48">
        <v>20000</v>
      </c>
      <c r="O295" s="48"/>
      <c r="P295" s="48"/>
      <c r="Q295" s="48"/>
      <c r="R295" s="48"/>
      <c r="S295" s="48"/>
      <c r="T295" s="48"/>
      <c r="U295" s="48"/>
      <c r="V295" s="48"/>
      <c r="W295" s="48"/>
    </row>
    <row r="296" ht="32.9" customHeight="true" spans="1:23">
      <c r="A296" s="18" t="s">
        <v>567</v>
      </c>
      <c r="B296" s="155" t="s">
        <v>701</v>
      </c>
      <c r="C296" s="18" t="s">
        <v>700</v>
      </c>
      <c r="D296" s="18" t="s">
        <v>69</v>
      </c>
      <c r="E296" s="18" t="s">
        <v>154</v>
      </c>
      <c r="F296" s="18" t="s">
        <v>569</v>
      </c>
      <c r="G296" s="18" t="s">
        <v>239</v>
      </c>
      <c r="H296" s="18" t="s">
        <v>240</v>
      </c>
      <c r="I296" s="48">
        <v>357600</v>
      </c>
      <c r="J296" s="48"/>
      <c r="K296" s="48"/>
      <c r="L296" s="48"/>
      <c r="M296" s="48"/>
      <c r="N296" s="48">
        <v>357600</v>
      </c>
      <c r="O296" s="48"/>
      <c r="P296" s="48"/>
      <c r="Q296" s="48"/>
      <c r="R296" s="48"/>
      <c r="S296" s="48"/>
      <c r="T296" s="48"/>
      <c r="U296" s="48"/>
      <c r="V296" s="48"/>
      <c r="W296" s="48"/>
    </row>
    <row r="297" ht="32.9" customHeight="true" spans="1:23">
      <c r="A297" s="18"/>
      <c r="B297" s="18"/>
      <c r="C297" s="18" t="s">
        <v>702</v>
      </c>
      <c r="D297" s="18"/>
      <c r="E297" s="18"/>
      <c r="F297" s="18"/>
      <c r="G297" s="18"/>
      <c r="H297" s="18"/>
      <c r="I297" s="48">
        <v>125000</v>
      </c>
      <c r="J297" s="48"/>
      <c r="K297" s="48"/>
      <c r="L297" s="48"/>
      <c r="M297" s="48"/>
      <c r="N297" s="48">
        <v>125000</v>
      </c>
      <c r="O297" s="48"/>
      <c r="P297" s="48"/>
      <c r="Q297" s="48"/>
      <c r="R297" s="48"/>
      <c r="S297" s="48"/>
      <c r="T297" s="48"/>
      <c r="U297" s="48"/>
      <c r="V297" s="48"/>
      <c r="W297" s="48"/>
    </row>
    <row r="298" ht="32.9" customHeight="true" spans="1:23">
      <c r="A298" s="18" t="s">
        <v>567</v>
      </c>
      <c r="B298" s="155" t="s">
        <v>703</v>
      </c>
      <c r="C298" s="18" t="s">
        <v>702</v>
      </c>
      <c r="D298" s="18" t="s">
        <v>69</v>
      </c>
      <c r="E298" s="18" t="s">
        <v>142</v>
      </c>
      <c r="F298" s="18" t="s">
        <v>549</v>
      </c>
      <c r="G298" s="18" t="s">
        <v>341</v>
      </c>
      <c r="H298" s="18" t="s">
        <v>342</v>
      </c>
      <c r="I298" s="48">
        <v>1000</v>
      </c>
      <c r="J298" s="48"/>
      <c r="K298" s="48"/>
      <c r="L298" s="48"/>
      <c r="M298" s="48"/>
      <c r="N298" s="48">
        <v>1000</v>
      </c>
      <c r="O298" s="48"/>
      <c r="P298" s="48"/>
      <c r="Q298" s="48"/>
      <c r="R298" s="48"/>
      <c r="S298" s="48"/>
      <c r="T298" s="48"/>
      <c r="U298" s="48"/>
      <c r="V298" s="48"/>
      <c r="W298" s="48"/>
    </row>
    <row r="299" ht="32.9" customHeight="true" spans="1:23">
      <c r="A299" s="18" t="s">
        <v>567</v>
      </c>
      <c r="B299" s="155" t="s">
        <v>703</v>
      </c>
      <c r="C299" s="18" t="s">
        <v>702</v>
      </c>
      <c r="D299" s="18" t="s">
        <v>69</v>
      </c>
      <c r="E299" s="18" t="s">
        <v>142</v>
      </c>
      <c r="F299" s="18" t="s">
        <v>549</v>
      </c>
      <c r="G299" s="18" t="s">
        <v>277</v>
      </c>
      <c r="H299" s="18" t="s">
        <v>278</v>
      </c>
      <c r="I299" s="48">
        <v>43200</v>
      </c>
      <c r="J299" s="48"/>
      <c r="K299" s="48"/>
      <c r="L299" s="48"/>
      <c r="M299" s="48"/>
      <c r="N299" s="48">
        <v>43200</v>
      </c>
      <c r="O299" s="48"/>
      <c r="P299" s="48"/>
      <c r="Q299" s="48"/>
      <c r="R299" s="48"/>
      <c r="S299" s="48"/>
      <c r="T299" s="48"/>
      <c r="U299" s="48"/>
      <c r="V299" s="48"/>
      <c r="W299" s="48"/>
    </row>
    <row r="300" ht="32.9" customHeight="true" spans="1:23">
      <c r="A300" s="18" t="s">
        <v>567</v>
      </c>
      <c r="B300" s="155" t="s">
        <v>703</v>
      </c>
      <c r="C300" s="18" t="s">
        <v>702</v>
      </c>
      <c r="D300" s="18" t="s">
        <v>69</v>
      </c>
      <c r="E300" s="18" t="s">
        <v>142</v>
      </c>
      <c r="F300" s="18" t="s">
        <v>549</v>
      </c>
      <c r="G300" s="18" t="s">
        <v>281</v>
      </c>
      <c r="H300" s="18" t="s">
        <v>282</v>
      </c>
      <c r="I300" s="48">
        <v>67100</v>
      </c>
      <c r="J300" s="48"/>
      <c r="K300" s="48"/>
      <c r="L300" s="48"/>
      <c r="M300" s="48"/>
      <c r="N300" s="48">
        <v>67100</v>
      </c>
      <c r="O300" s="48"/>
      <c r="P300" s="48"/>
      <c r="Q300" s="48"/>
      <c r="R300" s="48"/>
      <c r="S300" s="48"/>
      <c r="T300" s="48"/>
      <c r="U300" s="48"/>
      <c r="V300" s="48"/>
      <c r="W300" s="48"/>
    </row>
    <row r="301" ht="32.9" customHeight="true" spans="1:23">
      <c r="A301" s="18" t="s">
        <v>567</v>
      </c>
      <c r="B301" s="155" t="s">
        <v>703</v>
      </c>
      <c r="C301" s="18" t="s">
        <v>702</v>
      </c>
      <c r="D301" s="18" t="s">
        <v>69</v>
      </c>
      <c r="E301" s="18" t="s">
        <v>142</v>
      </c>
      <c r="F301" s="18" t="s">
        <v>549</v>
      </c>
      <c r="G301" s="18" t="s">
        <v>287</v>
      </c>
      <c r="H301" s="18" t="s">
        <v>288</v>
      </c>
      <c r="I301" s="48">
        <v>13700</v>
      </c>
      <c r="J301" s="48"/>
      <c r="K301" s="48"/>
      <c r="L301" s="48"/>
      <c r="M301" s="48"/>
      <c r="N301" s="48">
        <v>13700</v>
      </c>
      <c r="O301" s="48"/>
      <c r="P301" s="48"/>
      <c r="Q301" s="48"/>
      <c r="R301" s="48"/>
      <c r="S301" s="48"/>
      <c r="T301" s="48"/>
      <c r="U301" s="48"/>
      <c r="V301" s="48"/>
      <c r="W301" s="48"/>
    </row>
    <row r="302" ht="32.9" customHeight="true" spans="1:23">
      <c r="A302" s="18"/>
      <c r="B302" s="18"/>
      <c r="C302" s="18" t="s">
        <v>704</v>
      </c>
      <c r="D302" s="18"/>
      <c r="E302" s="18"/>
      <c r="F302" s="18"/>
      <c r="G302" s="18"/>
      <c r="H302" s="18"/>
      <c r="I302" s="48">
        <v>616845</v>
      </c>
      <c r="J302" s="48"/>
      <c r="K302" s="48"/>
      <c r="L302" s="48"/>
      <c r="M302" s="48"/>
      <c r="N302" s="48">
        <v>616845</v>
      </c>
      <c r="O302" s="48"/>
      <c r="P302" s="48"/>
      <c r="Q302" s="48"/>
      <c r="R302" s="48"/>
      <c r="S302" s="48"/>
      <c r="T302" s="48"/>
      <c r="U302" s="48"/>
      <c r="V302" s="48"/>
      <c r="W302" s="48"/>
    </row>
    <row r="303" ht="32.9" customHeight="true" spans="1:23">
      <c r="A303" s="18" t="s">
        <v>538</v>
      </c>
      <c r="B303" s="155" t="s">
        <v>705</v>
      </c>
      <c r="C303" s="18" t="s">
        <v>704</v>
      </c>
      <c r="D303" s="18" t="s">
        <v>69</v>
      </c>
      <c r="E303" s="18" t="s">
        <v>105</v>
      </c>
      <c r="F303" s="18" t="s">
        <v>706</v>
      </c>
      <c r="G303" s="18" t="s">
        <v>316</v>
      </c>
      <c r="H303" s="18" t="s">
        <v>317</v>
      </c>
      <c r="I303" s="48">
        <v>50000</v>
      </c>
      <c r="J303" s="48"/>
      <c r="K303" s="48"/>
      <c r="L303" s="48"/>
      <c r="M303" s="48"/>
      <c r="N303" s="48">
        <v>50000</v>
      </c>
      <c r="O303" s="48"/>
      <c r="P303" s="48"/>
      <c r="Q303" s="48"/>
      <c r="R303" s="48"/>
      <c r="S303" s="48"/>
      <c r="T303" s="48"/>
      <c r="U303" s="48"/>
      <c r="V303" s="48"/>
      <c r="W303" s="48"/>
    </row>
    <row r="304" ht="32.9" customHeight="true" spans="1:23">
      <c r="A304" s="18" t="s">
        <v>538</v>
      </c>
      <c r="B304" s="155" t="s">
        <v>705</v>
      </c>
      <c r="C304" s="18" t="s">
        <v>704</v>
      </c>
      <c r="D304" s="18" t="s">
        <v>69</v>
      </c>
      <c r="E304" s="18" t="s">
        <v>154</v>
      </c>
      <c r="F304" s="18" t="s">
        <v>569</v>
      </c>
      <c r="G304" s="18" t="s">
        <v>277</v>
      </c>
      <c r="H304" s="18" t="s">
        <v>278</v>
      </c>
      <c r="I304" s="48">
        <v>30000</v>
      </c>
      <c r="J304" s="48"/>
      <c r="K304" s="48"/>
      <c r="L304" s="48"/>
      <c r="M304" s="48"/>
      <c r="N304" s="48">
        <v>30000</v>
      </c>
      <c r="O304" s="48"/>
      <c r="P304" s="48"/>
      <c r="Q304" s="48"/>
      <c r="R304" s="48"/>
      <c r="S304" s="48"/>
      <c r="T304" s="48"/>
      <c r="U304" s="48"/>
      <c r="V304" s="48"/>
      <c r="W304" s="48"/>
    </row>
    <row r="305" ht="32.9" customHeight="true" spans="1:23">
      <c r="A305" s="18" t="s">
        <v>538</v>
      </c>
      <c r="B305" s="155" t="s">
        <v>705</v>
      </c>
      <c r="C305" s="18" t="s">
        <v>704</v>
      </c>
      <c r="D305" s="18" t="s">
        <v>69</v>
      </c>
      <c r="E305" s="18" t="s">
        <v>154</v>
      </c>
      <c r="F305" s="18" t="s">
        <v>569</v>
      </c>
      <c r="G305" s="18" t="s">
        <v>283</v>
      </c>
      <c r="H305" s="18" t="s">
        <v>284</v>
      </c>
      <c r="I305" s="48">
        <v>36845</v>
      </c>
      <c r="J305" s="48"/>
      <c r="K305" s="48"/>
      <c r="L305" s="48"/>
      <c r="M305" s="48"/>
      <c r="N305" s="48">
        <v>36845</v>
      </c>
      <c r="O305" s="48"/>
      <c r="P305" s="48"/>
      <c r="Q305" s="48"/>
      <c r="R305" s="48"/>
      <c r="S305" s="48"/>
      <c r="T305" s="48"/>
      <c r="U305" s="48"/>
      <c r="V305" s="48"/>
      <c r="W305" s="48"/>
    </row>
    <row r="306" ht="32.9" customHeight="true" spans="1:23">
      <c r="A306" s="18" t="s">
        <v>538</v>
      </c>
      <c r="B306" s="155" t="s">
        <v>705</v>
      </c>
      <c r="C306" s="18" t="s">
        <v>704</v>
      </c>
      <c r="D306" s="18" t="s">
        <v>69</v>
      </c>
      <c r="E306" s="18" t="s">
        <v>154</v>
      </c>
      <c r="F306" s="18" t="s">
        <v>569</v>
      </c>
      <c r="G306" s="18" t="s">
        <v>629</v>
      </c>
      <c r="H306" s="18" t="s">
        <v>630</v>
      </c>
      <c r="I306" s="48">
        <v>500000</v>
      </c>
      <c r="J306" s="48"/>
      <c r="K306" s="48"/>
      <c r="L306" s="48"/>
      <c r="M306" s="48"/>
      <c r="N306" s="48">
        <v>500000</v>
      </c>
      <c r="O306" s="48"/>
      <c r="P306" s="48"/>
      <c r="Q306" s="48"/>
      <c r="R306" s="48"/>
      <c r="S306" s="48"/>
      <c r="T306" s="48"/>
      <c r="U306" s="48"/>
      <c r="V306" s="48"/>
      <c r="W306" s="48"/>
    </row>
    <row r="307" ht="32.9" customHeight="true" spans="1:23">
      <c r="A307" s="18"/>
      <c r="B307" s="18"/>
      <c r="C307" s="18" t="s">
        <v>707</v>
      </c>
      <c r="D307" s="18"/>
      <c r="E307" s="18"/>
      <c r="F307" s="18"/>
      <c r="G307" s="18"/>
      <c r="H307" s="18"/>
      <c r="I307" s="48">
        <v>55000</v>
      </c>
      <c r="J307" s="48">
        <v>55000</v>
      </c>
      <c r="K307" s="48">
        <v>55000</v>
      </c>
      <c r="L307" s="48"/>
      <c r="M307" s="48"/>
      <c r="N307" s="48"/>
      <c r="O307" s="48"/>
      <c r="P307" s="48"/>
      <c r="Q307" s="48"/>
      <c r="R307" s="48"/>
      <c r="S307" s="48"/>
      <c r="T307" s="48"/>
      <c r="U307" s="48"/>
      <c r="V307" s="48"/>
      <c r="W307" s="48"/>
    </row>
    <row r="308" ht="32.9" customHeight="true" spans="1:23">
      <c r="A308" s="18" t="s">
        <v>567</v>
      </c>
      <c r="B308" s="155" t="s">
        <v>708</v>
      </c>
      <c r="C308" s="18" t="s">
        <v>707</v>
      </c>
      <c r="D308" s="18" t="s">
        <v>69</v>
      </c>
      <c r="E308" s="18" t="s">
        <v>142</v>
      </c>
      <c r="F308" s="18" t="s">
        <v>549</v>
      </c>
      <c r="G308" s="18" t="s">
        <v>277</v>
      </c>
      <c r="H308" s="18" t="s">
        <v>278</v>
      </c>
      <c r="I308" s="48">
        <v>40000</v>
      </c>
      <c r="J308" s="48">
        <v>40000</v>
      </c>
      <c r="K308" s="48">
        <v>40000</v>
      </c>
      <c r="L308" s="48"/>
      <c r="M308" s="48"/>
      <c r="N308" s="48"/>
      <c r="O308" s="48"/>
      <c r="P308" s="48"/>
      <c r="Q308" s="48"/>
      <c r="R308" s="48"/>
      <c r="S308" s="48"/>
      <c r="T308" s="48"/>
      <c r="U308" s="48"/>
      <c r="V308" s="48"/>
      <c r="W308" s="48"/>
    </row>
    <row r="309" ht="32.9" customHeight="true" spans="1:23">
      <c r="A309" s="18" t="s">
        <v>567</v>
      </c>
      <c r="B309" s="155" t="s">
        <v>708</v>
      </c>
      <c r="C309" s="18" t="s">
        <v>707</v>
      </c>
      <c r="D309" s="18" t="s">
        <v>69</v>
      </c>
      <c r="E309" s="18" t="s">
        <v>142</v>
      </c>
      <c r="F309" s="18" t="s">
        <v>549</v>
      </c>
      <c r="G309" s="18" t="s">
        <v>281</v>
      </c>
      <c r="H309" s="18" t="s">
        <v>282</v>
      </c>
      <c r="I309" s="48">
        <v>15000</v>
      </c>
      <c r="J309" s="48">
        <v>15000</v>
      </c>
      <c r="K309" s="48">
        <v>15000</v>
      </c>
      <c r="L309" s="48"/>
      <c r="M309" s="48"/>
      <c r="N309" s="48"/>
      <c r="O309" s="48"/>
      <c r="P309" s="48"/>
      <c r="Q309" s="48"/>
      <c r="R309" s="48"/>
      <c r="S309" s="48"/>
      <c r="T309" s="48"/>
      <c r="U309" s="48"/>
      <c r="V309" s="48"/>
      <c r="W309" s="48"/>
    </row>
    <row r="310" ht="32.9" customHeight="true" spans="1:23">
      <c r="A310" s="18"/>
      <c r="B310" s="18"/>
      <c r="C310" s="18" t="s">
        <v>709</v>
      </c>
      <c r="D310" s="18"/>
      <c r="E310" s="18"/>
      <c r="F310" s="18"/>
      <c r="G310" s="18"/>
      <c r="H310" s="18"/>
      <c r="I310" s="48">
        <v>6453.3</v>
      </c>
      <c r="J310" s="48"/>
      <c r="K310" s="48"/>
      <c r="L310" s="48"/>
      <c r="M310" s="48"/>
      <c r="N310" s="48">
        <v>6453.3</v>
      </c>
      <c r="O310" s="48"/>
      <c r="P310" s="48"/>
      <c r="Q310" s="48"/>
      <c r="R310" s="48"/>
      <c r="S310" s="48"/>
      <c r="T310" s="48"/>
      <c r="U310" s="48"/>
      <c r="V310" s="48"/>
      <c r="W310" s="48"/>
    </row>
    <row r="311" ht="32.9" customHeight="true" spans="1:23">
      <c r="A311" s="18" t="s">
        <v>567</v>
      </c>
      <c r="B311" s="155" t="s">
        <v>710</v>
      </c>
      <c r="C311" s="18" t="s">
        <v>709</v>
      </c>
      <c r="D311" s="18" t="s">
        <v>71</v>
      </c>
      <c r="E311" s="18" t="s">
        <v>141</v>
      </c>
      <c r="F311" s="18" t="s">
        <v>555</v>
      </c>
      <c r="G311" s="18" t="s">
        <v>262</v>
      </c>
      <c r="H311" s="18" t="s">
        <v>263</v>
      </c>
      <c r="I311" s="48">
        <v>6453.3</v>
      </c>
      <c r="J311" s="48"/>
      <c r="K311" s="48"/>
      <c r="L311" s="48"/>
      <c r="M311" s="48"/>
      <c r="N311" s="48">
        <v>6453.3</v>
      </c>
      <c r="O311" s="48"/>
      <c r="P311" s="48"/>
      <c r="Q311" s="48"/>
      <c r="R311" s="48"/>
      <c r="S311" s="48"/>
      <c r="T311" s="48"/>
      <c r="U311" s="48"/>
      <c r="V311" s="48"/>
      <c r="W311" s="48"/>
    </row>
    <row r="312" ht="32.9" customHeight="true" spans="1:23">
      <c r="A312" s="18"/>
      <c r="B312" s="18"/>
      <c r="C312" s="18" t="s">
        <v>711</v>
      </c>
      <c r="D312" s="18"/>
      <c r="E312" s="18"/>
      <c r="F312" s="18"/>
      <c r="G312" s="18"/>
      <c r="H312" s="18"/>
      <c r="I312" s="48">
        <v>52.4</v>
      </c>
      <c r="J312" s="48"/>
      <c r="K312" s="48"/>
      <c r="L312" s="48"/>
      <c r="M312" s="48"/>
      <c r="N312" s="48">
        <v>52.4</v>
      </c>
      <c r="O312" s="48"/>
      <c r="P312" s="48"/>
      <c r="Q312" s="48"/>
      <c r="R312" s="48"/>
      <c r="S312" s="48"/>
      <c r="T312" s="48"/>
      <c r="U312" s="48"/>
      <c r="V312" s="48"/>
      <c r="W312" s="48"/>
    </row>
    <row r="313" ht="32.9" customHeight="true" spans="1:23">
      <c r="A313" s="18" t="s">
        <v>567</v>
      </c>
      <c r="B313" s="155" t="s">
        <v>712</v>
      </c>
      <c r="C313" s="18" t="s">
        <v>711</v>
      </c>
      <c r="D313" s="18" t="s">
        <v>71</v>
      </c>
      <c r="E313" s="18" t="s">
        <v>141</v>
      </c>
      <c r="F313" s="18" t="s">
        <v>555</v>
      </c>
      <c r="G313" s="18" t="s">
        <v>277</v>
      </c>
      <c r="H313" s="18" t="s">
        <v>278</v>
      </c>
      <c r="I313" s="48">
        <v>52.4</v>
      </c>
      <c r="J313" s="48"/>
      <c r="K313" s="48"/>
      <c r="L313" s="48"/>
      <c r="M313" s="48"/>
      <c r="N313" s="48">
        <v>52.4</v>
      </c>
      <c r="O313" s="48"/>
      <c r="P313" s="48"/>
      <c r="Q313" s="48"/>
      <c r="R313" s="48"/>
      <c r="S313" s="48"/>
      <c r="T313" s="48"/>
      <c r="U313" s="48"/>
      <c r="V313" s="48"/>
      <c r="W313" s="48"/>
    </row>
    <row r="314" ht="32.9" customHeight="true" spans="1:23">
      <c r="A314" s="18"/>
      <c r="B314" s="18"/>
      <c r="C314" s="18" t="s">
        <v>713</v>
      </c>
      <c r="D314" s="18"/>
      <c r="E314" s="18"/>
      <c r="F314" s="18"/>
      <c r="G314" s="18"/>
      <c r="H314" s="18"/>
      <c r="I314" s="48">
        <v>20030</v>
      </c>
      <c r="J314" s="48"/>
      <c r="K314" s="48"/>
      <c r="L314" s="48"/>
      <c r="M314" s="48"/>
      <c r="N314" s="48">
        <v>20030</v>
      </c>
      <c r="O314" s="48"/>
      <c r="P314" s="48"/>
      <c r="Q314" s="48"/>
      <c r="R314" s="48"/>
      <c r="S314" s="48"/>
      <c r="T314" s="48"/>
      <c r="U314" s="48"/>
      <c r="V314" s="48"/>
      <c r="W314" s="48"/>
    </row>
    <row r="315" ht="32.9" customHeight="true" spans="1:23">
      <c r="A315" s="18" t="s">
        <v>567</v>
      </c>
      <c r="B315" s="155" t="s">
        <v>714</v>
      </c>
      <c r="C315" s="18" t="s">
        <v>713</v>
      </c>
      <c r="D315" s="18" t="s">
        <v>71</v>
      </c>
      <c r="E315" s="18" t="s">
        <v>142</v>
      </c>
      <c r="F315" s="18" t="s">
        <v>549</v>
      </c>
      <c r="G315" s="18" t="s">
        <v>275</v>
      </c>
      <c r="H315" s="18" t="s">
        <v>276</v>
      </c>
      <c r="I315" s="48">
        <v>20000</v>
      </c>
      <c r="J315" s="48"/>
      <c r="K315" s="48"/>
      <c r="L315" s="48"/>
      <c r="M315" s="48"/>
      <c r="N315" s="48">
        <v>20000</v>
      </c>
      <c r="O315" s="48"/>
      <c r="P315" s="48"/>
      <c r="Q315" s="48"/>
      <c r="R315" s="48"/>
      <c r="S315" s="48"/>
      <c r="T315" s="48"/>
      <c r="U315" s="48"/>
      <c r="V315" s="48"/>
      <c r="W315" s="48"/>
    </row>
    <row r="316" ht="32.9" customHeight="true" spans="1:23">
      <c r="A316" s="18" t="s">
        <v>567</v>
      </c>
      <c r="B316" s="155" t="s">
        <v>714</v>
      </c>
      <c r="C316" s="18" t="s">
        <v>713</v>
      </c>
      <c r="D316" s="18" t="s">
        <v>71</v>
      </c>
      <c r="E316" s="18" t="s">
        <v>142</v>
      </c>
      <c r="F316" s="18" t="s">
        <v>549</v>
      </c>
      <c r="G316" s="18" t="s">
        <v>277</v>
      </c>
      <c r="H316" s="18" t="s">
        <v>278</v>
      </c>
      <c r="I316" s="48">
        <v>30</v>
      </c>
      <c r="J316" s="48"/>
      <c r="K316" s="48"/>
      <c r="L316" s="48"/>
      <c r="M316" s="48"/>
      <c r="N316" s="48">
        <v>30</v>
      </c>
      <c r="O316" s="48"/>
      <c r="P316" s="48"/>
      <c r="Q316" s="48"/>
      <c r="R316" s="48"/>
      <c r="S316" s="48"/>
      <c r="T316" s="48"/>
      <c r="U316" s="48"/>
      <c r="V316" s="48"/>
      <c r="W316" s="48"/>
    </row>
    <row r="317" ht="32.9" customHeight="true" spans="1:23">
      <c r="A317" s="18"/>
      <c r="B317" s="18"/>
      <c r="C317" s="18" t="s">
        <v>715</v>
      </c>
      <c r="D317" s="18"/>
      <c r="E317" s="18"/>
      <c r="F317" s="18"/>
      <c r="G317" s="18"/>
      <c r="H317" s="18"/>
      <c r="I317" s="48">
        <v>3356</v>
      </c>
      <c r="J317" s="48"/>
      <c r="K317" s="48"/>
      <c r="L317" s="48"/>
      <c r="M317" s="48"/>
      <c r="N317" s="48">
        <v>3356</v>
      </c>
      <c r="O317" s="48"/>
      <c r="P317" s="48"/>
      <c r="Q317" s="48"/>
      <c r="R317" s="48"/>
      <c r="S317" s="48"/>
      <c r="T317" s="48"/>
      <c r="U317" s="48"/>
      <c r="V317" s="48"/>
      <c r="W317" s="48"/>
    </row>
    <row r="318" ht="32.9" customHeight="true" spans="1:23">
      <c r="A318" s="18" t="s">
        <v>567</v>
      </c>
      <c r="B318" s="155" t="s">
        <v>716</v>
      </c>
      <c r="C318" s="18" t="s">
        <v>715</v>
      </c>
      <c r="D318" s="18" t="s">
        <v>71</v>
      </c>
      <c r="E318" s="18" t="s">
        <v>142</v>
      </c>
      <c r="F318" s="18" t="s">
        <v>549</v>
      </c>
      <c r="G318" s="18" t="s">
        <v>277</v>
      </c>
      <c r="H318" s="18" t="s">
        <v>278</v>
      </c>
      <c r="I318" s="48">
        <v>3356</v>
      </c>
      <c r="J318" s="48"/>
      <c r="K318" s="48"/>
      <c r="L318" s="48"/>
      <c r="M318" s="48"/>
      <c r="N318" s="48">
        <v>3356</v>
      </c>
      <c r="O318" s="48"/>
      <c r="P318" s="48"/>
      <c r="Q318" s="48"/>
      <c r="R318" s="48"/>
      <c r="S318" s="48"/>
      <c r="T318" s="48"/>
      <c r="U318" s="48"/>
      <c r="V318" s="48"/>
      <c r="W318" s="48"/>
    </row>
    <row r="319" ht="32.9" customHeight="true" spans="1:23">
      <c r="A319" s="18"/>
      <c r="B319" s="18"/>
      <c r="C319" s="18" t="s">
        <v>717</v>
      </c>
      <c r="D319" s="18"/>
      <c r="E319" s="18"/>
      <c r="F319" s="18"/>
      <c r="G319" s="18"/>
      <c r="H319" s="18"/>
      <c r="I319" s="48">
        <v>40660</v>
      </c>
      <c r="J319" s="48"/>
      <c r="K319" s="48"/>
      <c r="L319" s="48"/>
      <c r="M319" s="48"/>
      <c r="N319" s="48">
        <v>40660</v>
      </c>
      <c r="O319" s="48"/>
      <c r="P319" s="48"/>
      <c r="Q319" s="48"/>
      <c r="R319" s="48"/>
      <c r="S319" s="48"/>
      <c r="T319" s="48"/>
      <c r="U319" s="48"/>
      <c r="V319" s="48"/>
      <c r="W319" s="48"/>
    </row>
    <row r="320" ht="32.9" customHeight="true" spans="1:23">
      <c r="A320" s="18" t="s">
        <v>567</v>
      </c>
      <c r="B320" s="155" t="s">
        <v>718</v>
      </c>
      <c r="C320" s="18" t="s">
        <v>717</v>
      </c>
      <c r="D320" s="18" t="s">
        <v>71</v>
      </c>
      <c r="E320" s="18" t="s">
        <v>154</v>
      </c>
      <c r="F320" s="18" t="s">
        <v>569</v>
      </c>
      <c r="G320" s="18" t="s">
        <v>287</v>
      </c>
      <c r="H320" s="18" t="s">
        <v>288</v>
      </c>
      <c r="I320" s="48">
        <v>40660</v>
      </c>
      <c r="J320" s="48"/>
      <c r="K320" s="48"/>
      <c r="L320" s="48"/>
      <c r="M320" s="48"/>
      <c r="N320" s="48">
        <v>40660</v>
      </c>
      <c r="O320" s="48"/>
      <c r="P320" s="48"/>
      <c r="Q320" s="48"/>
      <c r="R320" s="48"/>
      <c r="S320" s="48"/>
      <c r="T320" s="48"/>
      <c r="U320" s="48"/>
      <c r="V320" s="48"/>
      <c r="W320" s="48"/>
    </row>
    <row r="321" ht="32.9" customHeight="true" spans="1:23">
      <c r="A321" s="18"/>
      <c r="B321" s="18"/>
      <c r="C321" s="18" t="s">
        <v>719</v>
      </c>
      <c r="D321" s="18"/>
      <c r="E321" s="18"/>
      <c r="F321" s="18"/>
      <c r="G321" s="18"/>
      <c r="H321" s="18"/>
      <c r="I321" s="48">
        <v>186000</v>
      </c>
      <c r="J321" s="48"/>
      <c r="K321" s="48"/>
      <c r="L321" s="48"/>
      <c r="M321" s="48"/>
      <c r="N321" s="48">
        <v>186000</v>
      </c>
      <c r="O321" s="48"/>
      <c r="P321" s="48"/>
      <c r="Q321" s="48"/>
      <c r="R321" s="48"/>
      <c r="S321" s="48"/>
      <c r="T321" s="48"/>
      <c r="U321" s="48"/>
      <c r="V321" s="48"/>
      <c r="W321" s="48"/>
    </row>
    <row r="322" ht="32.9" customHeight="true" spans="1:23">
      <c r="A322" s="18" t="s">
        <v>559</v>
      </c>
      <c r="B322" s="155" t="s">
        <v>720</v>
      </c>
      <c r="C322" s="18" t="s">
        <v>719</v>
      </c>
      <c r="D322" s="18" t="s">
        <v>71</v>
      </c>
      <c r="E322" s="18" t="s">
        <v>142</v>
      </c>
      <c r="F322" s="18" t="s">
        <v>549</v>
      </c>
      <c r="G322" s="18" t="s">
        <v>277</v>
      </c>
      <c r="H322" s="18" t="s">
        <v>278</v>
      </c>
      <c r="I322" s="48">
        <v>186000</v>
      </c>
      <c r="J322" s="48"/>
      <c r="K322" s="48"/>
      <c r="L322" s="48"/>
      <c r="M322" s="48"/>
      <c r="N322" s="48">
        <v>186000</v>
      </c>
      <c r="O322" s="48"/>
      <c r="P322" s="48"/>
      <c r="Q322" s="48"/>
      <c r="R322" s="48"/>
      <c r="S322" s="48"/>
      <c r="T322" s="48"/>
      <c r="U322" s="48"/>
      <c r="V322" s="48"/>
      <c r="W322" s="48"/>
    </row>
    <row r="323" ht="32.9" customHeight="true" spans="1:23">
      <c r="A323" s="18"/>
      <c r="B323" s="18"/>
      <c r="C323" s="18" t="s">
        <v>639</v>
      </c>
      <c r="D323" s="18"/>
      <c r="E323" s="18"/>
      <c r="F323" s="18"/>
      <c r="G323" s="18"/>
      <c r="H323" s="18"/>
      <c r="I323" s="48">
        <v>389514</v>
      </c>
      <c r="J323" s="48"/>
      <c r="K323" s="48"/>
      <c r="L323" s="48"/>
      <c r="M323" s="48"/>
      <c r="N323" s="48">
        <v>389514</v>
      </c>
      <c r="O323" s="48"/>
      <c r="P323" s="48"/>
      <c r="Q323" s="48"/>
      <c r="R323" s="48"/>
      <c r="S323" s="48"/>
      <c r="T323" s="48"/>
      <c r="U323" s="48"/>
      <c r="V323" s="48"/>
      <c r="W323" s="48"/>
    </row>
    <row r="324" ht="32.9" customHeight="true" spans="1:23">
      <c r="A324" s="18" t="s">
        <v>559</v>
      </c>
      <c r="B324" s="155" t="s">
        <v>721</v>
      </c>
      <c r="C324" s="18" t="s">
        <v>639</v>
      </c>
      <c r="D324" s="18" t="s">
        <v>71</v>
      </c>
      <c r="E324" s="18" t="s">
        <v>126</v>
      </c>
      <c r="F324" s="18" t="s">
        <v>542</v>
      </c>
      <c r="G324" s="18" t="s">
        <v>275</v>
      </c>
      <c r="H324" s="18" t="s">
        <v>276</v>
      </c>
      <c r="I324" s="48">
        <v>320614</v>
      </c>
      <c r="J324" s="48"/>
      <c r="K324" s="48"/>
      <c r="L324" s="48"/>
      <c r="M324" s="48"/>
      <c r="N324" s="48">
        <v>320614</v>
      </c>
      <c r="O324" s="48"/>
      <c r="P324" s="48"/>
      <c r="Q324" s="48"/>
      <c r="R324" s="48"/>
      <c r="S324" s="48"/>
      <c r="T324" s="48"/>
      <c r="U324" s="48"/>
      <c r="V324" s="48"/>
      <c r="W324" s="48"/>
    </row>
    <row r="325" ht="32.9" customHeight="true" spans="1:23">
      <c r="A325" s="18" t="s">
        <v>559</v>
      </c>
      <c r="B325" s="155" t="s">
        <v>721</v>
      </c>
      <c r="C325" s="18" t="s">
        <v>639</v>
      </c>
      <c r="D325" s="18" t="s">
        <v>71</v>
      </c>
      <c r="E325" s="18" t="s">
        <v>126</v>
      </c>
      <c r="F325" s="18" t="s">
        <v>542</v>
      </c>
      <c r="G325" s="18" t="s">
        <v>281</v>
      </c>
      <c r="H325" s="18" t="s">
        <v>282</v>
      </c>
      <c r="I325" s="48">
        <v>64900</v>
      </c>
      <c r="J325" s="48"/>
      <c r="K325" s="48"/>
      <c r="L325" s="48"/>
      <c r="M325" s="48"/>
      <c r="N325" s="48">
        <v>64900</v>
      </c>
      <c r="O325" s="48"/>
      <c r="P325" s="48"/>
      <c r="Q325" s="48"/>
      <c r="R325" s="48"/>
      <c r="S325" s="48"/>
      <c r="T325" s="48"/>
      <c r="U325" s="48"/>
      <c r="V325" s="48"/>
      <c r="W325" s="48"/>
    </row>
    <row r="326" ht="32.9" customHeight="true" spans="1:23">
      <c r="A326" s="18" t="s">
        <v>559</v>
      </c>
      <c r="B326" s="155" t="s">
        <v>721</v>
      </c>
      <c r="C326" s="18" t="s">
        <v>639</v>
      </c>
      <c r="D326" s="18" t="s">
        <v>71</v>
      </c>
      <c r="E326" s="18" t="s">
        <v>126</v>
      </c>
      <c r="F326" s="18" t="s">
        <v>542</v>
      </c>
      <c r="G326" s="18" t="s">
        <v>283</v>
      </c>
      <c r="H326" s="18" t="s">
        <v>284</v>
      </c>
      <c r="I326" s="48">
        <v>4000</v>
      </c>
      <c r="J326" s="48"/>
      <c r="K326" s="48"/>
      <c r="L326" s="48"/>
      <c r="M326" s="48"/>
      <c r="N326" s="48">
        <v>4000</v>
      </c>
      <c r="O326" s="48"/>
      <c r="P326" s="48"/>
      <c r="Q326" s="48"/>
      <c r="R326" s="48"/>
      <c r="S326" s="48"/>
      <c r="T326" s="48"/>
      <c r="U326" s="48"/>
      <c r="V326" s="48"/>
      <c r="W326" s="48"/>
    </row>
    <row r="327" ht="32.9" customHeight="true" spans="1:23">
      <c r="A327" s="18"/>
      <c r="B327" s="18"/>
      <c r="C327" s="18" t="s">
        <v>722</v>
      </c>
      <c r="D327" s="18"/>
      <c r="E327" s="18"/>
      <c r="F327" s="18"/>
      <c r="G327" s="18"/>
      <c r="H327" s="18"/>
      <c r="I327" s="48">
        <v>160000</v>
      </c>
      <c r="J327" s="48"/>
      <c r="K327" s="48"/>
      <c r="L327" s="48"/>
      <c r="M327" s="48"/>
      <c r="N327" s="48">
        <v>160000</v>
      </c>
      <c r="O327" s="48"/>
      <c r="P327" s="48"/>
      <c r="Q327" s="48"/>
      <c r="R327" s="48"/>
      <c r="S327" s="48"/>
      <c r="T327" s="48"/>
      <c r="U327" s="48"/>
      <c r="V327" s="48"/>
      <c r="W327" s="48"/>
    </row>
    <row r="328" ht="32.9" customHeight="true" spans="1:23">
      <c r="A328" s="18" t="s">
        <v>538</v>
      </c>
      <c r="B328" s="155" t="s">
        <v>723</v>
      </c>
      <c r="C328" s="18" t="s">
        <v>722</v>
      </c>
      <c r="D328" s="18" t="s">
        <v>71</v>
      </c>
      <c r="E328" s="18" t="s">
        <v>141</v>
      </c>
      <c r="F328" s="18" t="s">
        <v>555</v>
      </c>
      <c r="G328" s="18" t="s">
        <v>275</v>
      </c>
      <c r="H328" s="18" t="s">
        <v>276</v>
      </c>
      <c r="I328" s="48">
        <v>80000</v>
      </c>
      <c r="J328" s="48"/>
      <c r="K328" s="48"/>
      <c r="L328" s="48"/>
      <c r="M328" s="48"/>
      <c r="N328" s="48">
        <v>80000</v>
      </c>
      <c r="O328" s="48"/>
      <c r="P328" s="48"/>
      <c r="Q328" s="48"/>
      <c r="R328" s="48"/>
      <c r="S328" s="48"/>
      <c r="T328" s="48"/>
      <c r="U328" s="48"/>
      <c r="V328" s="48"/>
      <c r="W328" s="48"/>
    </row>
    <row r="329" ht="32.9" customHeight="true" spans="1:23">
      <c r="A329" s="18" t="s">
        <v>538</v>
      </c>
      <c r="B329" s="155" t="s">
        <v>723</v>
      </c>
      <c r="C329" s="18" t="s">
        <v>722</v>
      </c>
      <c r="D329" s="18" t="s">
        <v>71</v>
      </c>
      <c r="E329" s="18" t="s">
        <v>141</v>
      </c>
      <c r="F329" s="18" t="s">
        <v>555</v>
      </c>
      <c r="G329" s="18" t="s">
        <v>277</v>
      </c>
      <c r="H329" s="18" t="s">
        <v>278</v>
      </c>
      <c r="I329" s="48">
        <v>80000</v>
      </c>
      <c r="J329" s="48"/>
      <c r="K329" s="48"/>
      <c r="L329" s="48"/>
      <c r="M329" s="48"/>
      <c r="N329" s="48">
        <v>80000</v>
      </c>
      <c r="O329" s="48"/>
      <c r="P329" s="48"/>
      <c r="Q329" s="48"/>
      <c r="R329" s="48"/>
      <c r="S329" s="48"/>
      <c r="T329" s="48"/>
      <c r="U329" s="48"/>
      <c r="V329" s="48"/>
      <c r="W329" s="48"/>
    </row>
    <row r="330" ht="32.9" customHeight="true" spans="1:23">
      <c r="A330" s="18"/>
      <c r="B330" s="18"/>
      <c r="C330" s="18" t="s">
        <v>724</v>
      </c>
      <c r="D330" s="18"/>
      <c r="E330" s="18"/>
      <c r="F330" s="18"/>
      <c r="G330" s="18"/>
      <c r="H330" s="18"/>
      <c r="I330" s="48">
        <v>30000</v>
      </c>
      <c r="J330" s="48">
        <v>30000</v>
      </c>
      <c r="K330" s="48">
        <v>30000</v>
      </c>
      <c r="L330" s="48"/>
      <c r="M330" s="48"/>
      <c r="N330" s="48"/>
      <c r="O330" s="48"/>
      <c r="P330" s="48"/>
      <c r="Q330" s="48"/>
      <c r="R330" s="48"/>
      <c r="S330" s="48"/>
      <c r="T330" s="48"/>
      <c r="U330" s="48"/>
      <c r="V330" s="48"/>
      <c r="W330" s="48"/>
    </row>
    <row r="331" ht="32.9" customHeight="true" spans="1:23">
      <c r="A331" s="18" t="s">
        <v>567</v>
      </c>
      <c r="B331" s="155" t="s">
        <v>725</v>
      </c>
      <c r="C331" s="18" t="s">
        <v>724</v>
      </c>
      <c r="D331" s="18" t="s">
        <v>71</v>
      </c>
      <c r="E331" s="18" t="s">
        <v>137</v>
      </c>
      <c r="F331" s="18" t="s">
        <v>382</v>
      </c>
      <c r="G331" s="18" t="s">
        <v>277</v>
      </c>
      <c r="H331" s="18" t="s">
        <v>278</v>
      </c>
      <c r="I331" s="48">
        <v>20000</v>
      </c>
      <c r="J331" s="48">
        <v>20000</v>
      </c>
      <c r="K331" s="48">
        <v>20000</v>
      </c>
      <c r="L331" s="48"/>
      <c r="M331" s="48"/>
      <c r="N331" s="48"/>
      <c r="O331" s="48"/>
      <c r="P331" s="48"/>
      <c r="Q331" s="48"/>
      <c r="R331" s="48"/>
      <c r="S331" s="48"/>
      <c r="T331" s="48"/>
      <c r="U331" s="48"/>
      <c r="V331" s="48"/>
      <c r="W331" s="48"/>
    </row>
    <row r="332" ht="32.9" customHeight="true" spans="1:23">
      <c r="A332" s="18" t="s">
        <v>567</v>
      </c>
      <c r="B332" s="155" t="s">
        <v>725</v>
      </c>
      <c r="C332" s="18" t="s">
        <v>724</v>
      </c>
      <c r="D332" s="18" t="s">
        <v>71</v>
      </c>
      <c r="E332" s="18" t="s">
        <v>137</v>
      </c>
      <c r="F332" s="18" t="s">
        <v>382</v>
      </c>
      <c r="G332" s="18" t="s">
        <v>281</v>
      </c>
      <c r="H332" s="18" t="s">
        <v>282</v>
      </c>
      <c r="I332" s="48">
        <v>10000</v>
      </c>
      <c r="J332" s="48">
        <v>10000</v>
      </c>
      <c r="K332" s="48">
        <v>10000</v>
      </c>
      <c r="L332" s="48"/>
      <c r="M332" s="48"/>
      <c r="N332" s="48"/>
      <c r="O332" s="48"/>
      <c r="P332" s="48"/>
      <c r="Q332" s="48"/>
      <c r="R332" s="48"/>
      <c r="S332" s="48"/>
      <c r="T332" s="48"/>
      <c r="U332" s="48"/>
      <c r="V332" s="48"/>
      <c r="W332" s="48"/>
    </row>
    <row r="333" ht="32.9" customHeight="true" spans="1:23">
      <c r="A333" s="18"/>
      <c r="B333" s="18"/>
      <c r="C333" s="18" t="s">
        <v>726</v>
      </c>
      <c r="D333" s="18"/>
      <c r="E333" s="18"/>
      <c r="F333" s="18"/>
      <c r="G333" s="18"/>
      <c r="H333" s="18"/>
      <c r="I333" s="48">
        <v>27972536</v>
      </c>
      <c r="J333" s="48"/>
      <c r="K333" s="48"/>
      <c r="L333" s="48"/>
      <c r="M333" s="48"/>
      <c r="N333" s="48"/>
      <c r="O333" s="48"/>
      <c r="P333" s="48"/>
      <c r="Q333" s="48"/>
      <c r="R333" s="48">
        <v>27972536</v>
      </c>
      <c r="S333" s="48">
        <v>27972536</v>
      </c>
      <c r="T333" s="48"/>
      <c r="U333" s="48"/>
      <c r="V333" s="48"/>
      <c r="W333" s="48"/>
    </row>
    <row r="334" ht="32.9" customHeight="true" spans="1:23">
      <c r="A334" s="18" t="s">
        <v>559</v>
      </c>
      <c r="B334" s="155" t="s">
        <v>727</v>
      </c>
      <c r="C334" s="18" t="s">
        <v>726</v>
      </c>
      <c r="D334" s="18" t="s">
        <v>73</v>
      </c>
      <c r="E334" s="18" t="s">
        <v>140</v>
      </c>
      <c r="F334" s="18" t="s">
        <v>398</v>
      </c>
      <c r="G334" s="18" t="s">
        <v>275</v>
      </c>
      <c r="H334" s="18" t="s">
        <v>276</v>
      </c>
      <c r="I334" s="48">
        <v>130600</v>
      </c>
      <c r="J334" s="48"/>
      <c r="K334" s="48"/>
      <c r="L334" s="48"/>
      <c r="M334" s="48"/>
      <c r="N334" s="48"/>
      <c r="O334" s="48"/>
      <c r="P334" s="48"/>
      <c r="Q334" s="48"/>
      <c r="R334" s="48">
        <v>130600</v>
      </c>
      <c r="S334" s="48">
        <v>130600</v>
      </c>
      <c r="T334" s="48"/>
      <c r="U334" s="48"/>
      <c r="V334" s="48"/>
      <c r="W334" s="48"/>
    </row>
    <row r="335" ht="32.9" customHeight="true" spans="1:23">
      <c r="A335" s="18" t="s">
        <v>559</v>
      </c>
      <c r="B335" s="155" t="s">
        <v>727</v>
      </c>
      <c r="C335" s="18" t="s">
        <v>726</v>
      </c>
      <c r="D335" s="18" t="s">
        <v>73</v>
      </c>
      <c r="E335" s="18" t="s">
        <v>140</v>
      </c>
      <c r="F335" s="18" t="s">
        <v>398</v>
      </c>
      <c r="G335" s="18" t="s">
        <v>308</v>
      </c>
      <c r="H335" s="18" t="s">
        <v>309</v>
      </c>
      <c r="I335" s="48">
        <v>25000</v>
      </c>
      <c r="J335" s="48"/>
      <c r="K335" s="48"/>
      <c r="L335" s="48"/>
      <c r="M335" s="48"/>
      <c r="N335" s="48"/>
      <c r="O335" s="48"/>
      <c r="P335" s="48"/>
      <c r="Q335" s="48"/>
      <c r="R335" s="48">
        <v>25000</v>
      </c>
      <c r="S335" s="48">
        <v>25000</v>
      </c>
      <c r="T335" s="48"/>
      <c r="U335" s="48"/>
      <c r="V335" s="48"/>
      <c r="W335" s="48"/>
    </row>
    <row r="336" ht="32.9" customHeight="true" spans="1:23">
      <c r="A336" s="18" t="s">
        <v>559</v>
      </c>
      <c r="B336" s="155" t="s">
        <v>727</v>
      </c>
      <c r="C336" s="18" t="s">
        <v>726</v>
      </c>
      <c r="D336" s="18" t="s">
        <v>73</v>
      </c>
      <c r="E336" s="18" t="s">
        <v>140</v>
      </c>
      <c r="F336" s="18" t="s">
        <v>398</v>
      </c>
      <c r="G336" s="18" t="s">
        <v>310</v>
      </c>
      <c r="H336" s="18" t="s">
        <v>311</v>
      </c>
      <c r="I336" s="48">
        <v>220000</v>
      </c>
      <c r="J336" s="48"/>
      <c r="K336" s="48"/>
      <c r="L336" s="48"/>
      <c r="M336" s="48"/>
      <c r="N336" s="48"/>
      <c r="O336" s="48"/>
      <c r="P336" s="48"/>
      <c r="Q336" s="48"/>
      <c r="R336" s="48">
        <v>220000</v>
      </c>
      <c r="S336" s="48">
        <v>220000</v>
      </c>
      <c r="T336" s="48"/>
      <c r="U336" s="48"/>
      <c r="V336" s="48"/>
      <c r="W336" s="48"/>
    </row>
    <row r="337" ht="32.9" customHeight="true" spans="1:23">
      <c r="A337" s="18" t="s">
        <v>559</v>
      </c>
      <c r="B337" s="155" t="s">
        <v>727</v>
      </c>
      <c r="C337" s="18" t="s">
        <v>726</v>
      </c>
      <c r="D337" s="18" t="s">
        <v>73</v>
      </c>
      <c r="E337" s="18" t="s">
        <v>140</v>
      </c>
      <c r="F337" s="18" t="s">
        <v>398</v>
      </c>
      <c r="G337" s="18" t="s">
        <v>312</v>
      </c>
      <c r="H337" s="18" t="s">
        <v>313</v>
      </c>
      <c r="I337" s="48">
        <v>134780</v>
      </c>
      <c r="J337" s="48"/>
      <c r="K337" s="48"/>
      <c r="L337" s="48"/>
      <c r="M337" s="48"/>
      <c r="N337" s="48"/>
      <c r="O337" s="48"/>
      <c r="P337" s="48"/>
      <c r="Q337" s="48"/>
      <c r="R337" s="48">
        <v>134780</v>
      </c>
      <c r="S337" s="48">
        <v>134780</v>
      </c>
      <c r="T337" s="48"/>
      <c r="U337" s="48"/>
      <c r="V337" s="48"/>
      <c r="W337" s="48"/>
    </row>
    <row r="338" ht="32.9" customHeight="true" spans="1:23">
      <c r="A338" s="18" t="s">
        <v>559</v>
      </c>
      <c r="B338" s="155" t="s">
        <v>727</v>
      </c>
      <c r="C338" s="18" t="s">
        <v>726</v>
      </c>
      <c r="D338" s="18" t="s">
        <v>73</v>
      </c>
      <c r="E338" s="18" t="s">
        <v>140</v>
      </c>
      <c r="F338" s="18" t="s">
        <v>398</v>
      </c>
      <c r="G338" s="18" t="s">
        <v>277</v>
      </c>
      <c r="H338" s="18" t="s">
        <v>278</v>
      </c>
      <c r="I338" s="48">
        <v>680000</v>
      </c>
      <c r="J338" s="48"/>
      <c r="K338" s="48"/>
      <c r="L338" s="48"/>
      <c r="M338" s="48"/>
      <c r="N338" s="48"/>
      <c r="O338" s="48"/>
      <c r="P338" s="48"/>
      <c r="Q338" s="48"/>
      <c r="R338" s="48">
        <v>680000</v>
      </c>
      <c r="S338" s="48">
        <v>680000</v>
      </c>
      <c r="T338" s="48"/>
      <c r="U338" s="48"/>
      <c r="V338" s="48"/>
      <c r="W338" s="48"/>
    </row>
    <row r="339" ht="32.9" customHeight="true" spans="1:23">
      <c r="A339" s="18" t="s">
        <v>559</v>
      </c>
      <c r="B339" s="155" t="s">
        <v>727</v>
      </c>
      <c r="C339" s="18" t="s">
        <v>726</v>
      </c>
      <c r="D339" s="18" t="s">
        <v>73</v>
      </c>
      <c r="E339" s="18" t="s">
        <v>140</v>
      </c>
      <c r="F339" s="18" t="s">
        <v>398</v>
      </c>
      <c r="G339" s="18" t="s">
        <v>314</v>
      </c>
      <c r="H339" s="18" t="s">
        <v>315</v>
      </c>
      <c r="I339" s="48">
        <v>217000</v>
      </c>
      <c r="J339" s="48"/>
      <c r="K339" s="48"/>
      <c r="L339" s="48"/>
      <c r="M339" s="48"/>
      <c r="N339" s="48"/>
      <c r="O339" s="48"/>
      <c r="P339" s="48"/>
      <c r="Q339" s="48"/>
      <c r="R339" s="48">
        <v>217000</v>
      </c>
      <c r="S339" s="48">
        <v>217000</v>
      </c>
      <c r="T339" s="48"/>
      <c r="U339" s="48"/>
      <c r="V339" s="48"/>
      <c r="W339" s="48"/>
    </row>
    <row r="340" ht="32.9" customHeight="true" spans="1:23">
      <c r="A340" s="18" t="s">
        <v>559</v>
      </c>
      <c r="B340" s="155" t="s">
        <v>727</v>
      </c>
      <c r="C340" s="18" t="s">
        <v>726</v>
      </c>
      <c r="D340" s="18" t="s">
        <v>73</v>
      </c>
      <c r="E340" s="18" t="s">
        <v>140</v>
      </c>
      <c r="F340" s="18" t="s">
        <v>398</v>
      </c>
      <c r="G340" s="18" t="s">
        <v>281</v>
      </c>
      <c r="H340" s="18" t="s">
        <v>282</v>
      </c>
      <c r="I340" s="48">
        <v>733500</v>
      </c>
      <c r="J340" s="48"/>
      <c r="K340" s="48"/>
      <c r="L340" s="48"/>
      <c r="M340" s="48"/>
      <c r="N340" s="48"/>
      <c r="O340" s="48"/>
      <c r="P340" s="48"/>
      <c r="Q340" s="48"/>
      <c r="R340" s="48">
        <v>733500</v>
      </c>
      <c r="S340" s="48">
        <v>733500</v>
      </c>
      <c r="T340" s="48"/>
      <c r="U340" s="48"/>
      <c r="V340" s="48"/>
      <c r="W340" s="48"/>
    </row>
    <row r="341" ht="32.9" customHeight="true" spans="1:23">
      <c r="A341" s="18" t="s">
        <v>559</v>
      </c>
      <c r="B341" s="155" t="s">
        <v>727</v>
      </c>
      <c r="C341" s="18" t="s">
        <v>726</v>
      </c>
      <c r="D341" s="18" t="s">
        <v>73</v>
      </c>
      <c r="E341" s="18" t="s">
        <v>140</v>
      </c>
      <c r="F341" s="18" t="s">
        <v>398</v>
      </c>
      <c r="G341" s="18" t="s">
        <v>625</v>
      </c>
      <c r="H341" s="18" t="s">
        <v>626</v>
      </c>
      <c r="I341" s="48">
        <v>15125000</v>
      </c>
      <c r="J341" s="48"/>
      <c r="K341" s="48"/>
      <c r="L341" s="48"/>
      <c r="M341" s="48"/>
      <c r="N341" s="48"/>
      <c r="O341" s="48"/>
      <c r="P341" s="48"/>
      <c r="Q341" s="48"/>
      <c r="R341" s="48">
        <v>15125000</v>
      </c>
      <c r="S341" s="48">
        <v>15125000</v>
      </c>
      <c r="T341" s="48"/>
      <c r="U341" s="48"/>
      <c r="V341" s="48"/>
      <c r="W341" s="48"/>
    </row>
    <row r="342" ht="32.9" customHeight="true" spans="1:23">
      <c r="A342" s="18" t="s">
        <v>559</v>
      </c>
      <c r="B342" s="155" t="s">
        <v>727</v>
      </c>
      <c r="C342" s="18" t="s">
        <v>726</v>
      </c>
      <c r="D342" s="18" t="s">
        <v>73</v>
      </c>
      <c r="E342" s="18" t="s">
        <v>140</v>
      </c>
      <c r="F342" s="18" t="s">
        <v>398</v>
      </c>
      <c r="G342" s="18" t="s">
        <v>316</v>
      </c>
      <c r="H342" s="18" t="s">
        <v>317</v>
      </c>
      <c r="I342" s="48">
        <v>310000</v>
      </c>
      <c r="J342" s="48"/>
      <c r="K342" s="48"/>
      <c r="L342" s="48"/>
      <c r="M342" s="48"/>
      <c r="N342" s="48"/>
      <c r="O342" s="48"/>
      <c r="P342" s="48"/>
      <c r="Q342" s="48"/>
      <c r="R342" s="48">
        <v>310000</v>
      </c>
      <c r="S342" s="48">
        <v>310000</v>
      </c>
      <c r="T342" s="48"/>
      <c r="U342" s="48"/>
      <c r="V342" s="48"/>
      <c r="W342" s="48"/>
    </row>
    <row r="343" ht="32.9" customHeight="true" spans="1:23">
      <c r="A343" s="18" t="s">
        <v>559</v>
      </c>
      <c r="B343" s="155" t="s">
        <v>727</v>
      </c>
      <c r="C343" s="18" t="s">
        <v>726</v>
      </c>
      <c r="D343" s="18" t="s">
        <v>73</v>
      </c>
      <c r="E343" s="18" t="s">
        <v>140</v>
      </c>
      <c r="F343" s="18" t="s">
        <v>398</v>
      </c>
      <c r="G343" s="18" t="s">
        <v>283</v>
      </c>
      <c r="H343" s="18" t="s">
        <v>284</v>
      </c>
      <c r="I343" s="48">
        <v>518000</v>
      </c>
      <c r="J343" s="48"/>
      <c r="K343" s="48"/>
      <c r="L343" s="48"/>
      <c r="M343" s="48"/>
      <c r="N343" s="48"/>
      <c r="O343" s="48"/>
      <c r="P343" s="48"/>
      <c r="Q343" s="48"/>
      <c r="R343" s="48">
        <v>518000</v>
      </c>
      <c r="S343" s="48">
        <v>518000</v>
      </c>
      <c r="T343" s="48"/>
      <c r="U343" s="48"/>
      <c r="V343" s="48"/>
      <c r="W343" s="48"/>
    </row>
    <row r="344" ht="32.9" customHeight="true" spans="1:23">
      <c r="A344" s="18" t="s">
        <v>559</v>
      </c>
      <c r="B344" s="155" t="s">
        <v>727</v>
      </c>
      <c r="C344" s="18" t="s">
        <v>726</v>
      </c>
      <c r="D344" s="18" t="s">
        <v>73</v>
      </c>
      <c r="E344" s="18" t="s">
        <v>140</v>
      </c>
      <c r="F344" s="18" t="s">
        <v>398</v>
      </c>
      <c r="G344" s="18" t="s">
        <v>273</v>
      </c>
      <c r="H344" s="18" t="s">
        <v>274</v>
      </c>
      <c r="I344" s="48">
        <v>1497976</v>
      </c>
      <c r="J344" s="48"/>
      <c r="K344" s="48"/>
      <c r="L344" s="48"/>
      <c r="M344" s="48"/>
      <c r="N344" s="48"/>
      <c r="O344" s="48"/>
      <c r="P344" s="48"/>
      <c r="Q344" s="48"/>
      <c r="R344" s="48">
        <v>1497976</v>
      </c>
      <c r="S344" s="48">
        <v>1497976</v>
      </c>
      <c r="T344" s="48"/>
      <c r="U344" s="48"/>
      <c r="V344" s="48"/>
      <c r="W344" s="48"/>
    </row>
    <row r="345" ht="32.9" customHeight="true" spans="1:23">
      <c r="A345" s="18" t="s">
        <v>559</v>
      </c>
      <c r="B345" s="155" t="s">
        <v>727</v>
      </c>
      <c r="C345" s="18" t="s">
        <v>726</v>
      </c>
      <c r="D345" s="18" t="s">
        <v>73</v>
      </c>
      <c r="E345" s="18" t="s">
        <v>140</v>
      </c>
      <c r="F345" s="18" t="s">
        <v>398</v>
      </c>
      <c r="G345" s="18" t="s">
        <v>728</v>
      </c>
      <c r="H345" s="18" t="s">
        <v>729</v>
      </c>
      <c r="I345" s="48">
        <v>4167000</v>
      </c>
      <c r="J345" s="48"/>
      <c r="K345" s="48"/>
      <c r="L345" s="48"/>
      <c r="M345" s="48"/>
      <c r="N345" s="48"/>
      <c r="O345" s="48"/>
      <c r="P345" s="48"/>
      <c r="Q345" s="48"/>
      <c r="R345" s="48">
        <v>4167000</v>
      </c>
      <c r="S345" s="48">
        <v>4167000</v>
      </c>
      <c r="T345" s="48"/>
      <c r="U345" s="48"/>
      <c r="V345" s="48"/>
      <c r="W345" s="48"/>
    </row>
    <row r="346" ht="32.9" customHeight="true" spans="1:23">
      <c r="A346" s="18" t="s">
        <v>559</v>
      </c>
      <c r="B346" s="155" t="s">
        <v>727</v>
      </c>
      <c r="C346" s="18" t="s">
        <v>726</v>
      </c>
      <c r="D346" s="18" t="s">
        <v>73</v>
      </c>
      <c r="E346" s="18" t="s">
        <v>140</v>
      </c>
      <c r="F346" s="18" t="s">
        <v>398</v>
      </c>
      <c r="G346" s="18" t="s">
        <v>287</v>
      </c>
      <c r="H346" s="18" t="s">
        <v>288</v>
      </c>
      <c r="I346" s="48">
        <v>562000</v>
      </c>
      <c r="J346" s="48"/>
      <c r="K346" s="48"/>
      <c r="L346" s="48"/>
      <c r="M346" s="48"/>
      <c r="N346" s="48"/>
      <c r="O346" s="48"/>
      <c r="P346" s="48"/>
      <c r="Q346" s="48"/>
      <c r="R346" s="48">
        <v>562000</v>
      </c>
      <c r="S346" s="48">
        <v>562000</v>
      </c>
      <c r="T346" s="48"/>
      <c r="U346" s="48"/>
      <c r="V346" s="48"/>
      <c r="W346" s="48"/>
    </row>
    <row r="347" ht="32.9" customHeight="true" spans="1:23">
      <c r="A347" s="18" t="s">
        <v>559</v>
      </c>
      <c r="B347" s="155" t="s">
        <v>727</v>
      </c>
      <c r="C347" s="18" t="s">
        <v>726</v>
      </c>
      <c r="D347" s="18" t="s">
        <v>73</v>
      </c>
      <c r="E347" s="18" t="s">
        <v>140</v>
      </c>
      <c r="F347" s="18" t="s">
        <v>398</v>
      </c>
      <c r="G347" s="18" t="s">
        <v>629</v>
      </c>
      <c r="H347" s="18" t="s">
        <v>630</v>
      </c>
      <c r="I347" s="48">
        <v>3651680</v>
      </c>
      <c r="J347" s="48"/>
      <c r="K347" s="48"/>
      <c r="L347" s="48"/>
      <c r="M347" s="48"/>
      <c r="N347" s="48"/>
      <c r="O347" s="48"/>
      <c r="P347" s="48"/>
      <c r="Q347" s="48"/>
      <c r="R347" s="48">
        <v>3651680</v>
      </c>
      <c r="S347" s="48">
        <v>3651680</v>
      </c>
      <c r="T347" s="48"/>
      <c r="U347" s="48"/>
      <c r="V347" s="48"/>
      <c r="W347" s="48"/>
    </row>
    <row r="348" ht="32.9" customHeight="true" spans="1:23">
      <c r="A348" s="18"/>
      <c r="B348" s="18"/>
      <c r="C348" s="18" t="s">
        <v>730</v>
      </c>
      <c r="D348" s="18"/>
      <c r="E348" s="18"/>
      <c r="F348" s="18"/>
      <c r="G348" s="18"/>
      <c r="H348" s="18"/>
      <c r="I348" s="48">
        <v>1200000</v>
      </c>
      <c r="J348" s="48"/>
      <c r="K348" s="48"/>
      <c r="L348" s="48"/>
      <c r="M348" s="48"/>
      <c r="N348" s="48">
        <v>1200000</v>
      </c>
      <c r="O348" s="48"/>
      <c r="P348" s="48"/>
      <c r="Q348" s="48"/>
      <c r="R348" s="48"/>
      <c r="S348" s="48"/>
      <c r="T348" s="48"/>
      <c r="U348" s="48"/>
      <c r="V348" s="48"/>
      <c r="W348" s="48"/>
    </row>
    <row r="349" ht="32.9" customHeight="true" spans="1:23">
      <c r="A349" s="18" t="s">
        <v>559</v>
      </c>
      <c r="B349" s="155" t="s">
        <v>731</v>
      </c>
      <c r="C349" s="18" t="s">
        <v>730</v>
      </c>
      <c r="D349" s="18" t="s">
        <v>73</v>
      </c>
      <c r="E349" s="18" t="s">
        <v>132</v>
      </c>
      <c r="F349" s="18" t="s">
        <v>481</v>
      </c>
      <c r="G349" s="18" t="s">
        <v>287</v>
      </c>
      <c r="H349" s="18" t="s">
        <v>288</v>
      </c>
      <c r="I349" s="48">
        <v>220000</v>
      </c>
      <c r="J349" s="48"/>
      <c r="K349" s="48"/>
      <c r="L349" s="48"/>
      <c r="M349" s="48"/>
      <c r="N349" s="48">
        <v>220000</v>
      </c>
      <c r="O349" s="48"/>
      <c r="P349" s="48"/>
      <c r="Q349" s="48"/>
      <c r="R349" s="48"/>
      <c r="S349" s="48"/>
      <c r="T349" s="48"/>
      <c r="U349" s="48"/>
      <c r="V349" s="48"/>
      <c r="W349" s="48"/>
    </row>
    <row r="350" ht="32.9" customHeight="true" spans="1:23">
      <c r="A350" s="18" t="s">
        <v>559</v>
      </c>
      <c r="B350" s="155" t="s">
        <v>731</v>
      </c>
      <c r="C350" s="18" t="s">
        <v>730</v>
      </c>
      <c r="D350" s="18" t="s">
        <v>73</v>
      </c>
      <c r="E350" s="18" t="s">
        <v>132</v>
      </c>
      <c r="F350" s="18" t="s">
        <v>481</v>
      </c>
      <c r="G350" s="18" t="s">
        <v>631</v>
      </c>
      <c r="H350" s="18" t="s">
        <v>632</v>
      </c>
      <c r="I350" s="48">
        <v>980000</v>
      </c>
      <c r="J350" s="48"/>
      <c r="K350" s="48"/>
      <c r="L350" s="48"/>
      <c r="M350" s="48"/>
      <c r="N350" s="48">
        <v>980000</v>
      </c>
      <c r="O350" s="48"/>
      <c r="P350" s="48"/>
      <c r="Q350" s="48"/>
      <c r="R350" s="48"/>
      <c r="S350" s="48"/>
      <c r="T350" s="48"/>
      <c r="U350" s="48"/>
      <c r="V350" s="48"/>
      <c r="W350" s="48"/>
    </row>
    <row r="351" ht="32.9" customHeight="true" spans="1:23">
      <c r="A351" s="18"/>
      <c r="B351" s="18"/>
      <c r="C351" s="18" t="s">
        <v>732</v>
      </c>
      <c r="D351" s="18"/>
      <c r="E351" s="18"/>
      <c r="F351" s="18"/>
      <c r="G351" s="18"/>
      <c r="H351" s="18"/>
      <c r="I351" s="48">
        <v>4320000</v>
      </c>
      <c r="J351" s="48"/>
      <c r="K351" s="48"/>
      <c r="L351" s="48"/>
      <c r="M351" s="48"/>
      <c r="N351" s="48">
        <v>4320000</v>
      </c>
      <c r="O351" s="48"/>
      <c r="P351" s="48"/>
      <c r="Q351" s="48"/>
      <c r="R351" s="48"/>
      <c r="S351" s="48"/>
      <c r="T351" s="48"/>
      <c r="U351" s="48"/>
      <c r="V351" s="48"/>
      <c r="W351" s="48"/>
    </row>
    <row r="352" ht="32.9" customHeight="true" spans="1:23">
      <c r="A352" s="18" t="s">
        <v>559</v>
      </c>
      <c r="B352" s="155" t="s">
        <v>733</v>
      </c>
      <c r="C352" s="18" t="s">
        <v>732</v>
      </c>
      <c r="D352" s="18" t="s">
        <v>73</v>
      </c>
      <c r="E352" s="18" t="s">
        <v>154</v>
      </c>
      <c r="F352" s="18" t="s">
        <v>569</v>
      </c>
      <c r="G352" s="18" t="s">
        <v>728</v>
      </c>
      <c r="H352" s="18" t="s">
        <v>729</v>
      </c>
      <c r="I352" s="48">
        <v>4320000</v>
      </c>
      <c r="J352" s="48"/>
      <c r="K352" s="48"/>
      <c r="L352" s="48"/>
      <c r="M352" s="48"/>
      <c r="N352" s="48">
        <v>4320000</v>
      </c>
      <c r="O352" s="48"/>
      <c r="P352" s="48"/>
      <c r="Q352" s="48"/>
      <c r="R352" s="48"/>
      <c r="S352" s="48"/>
      <c r="T352" s="48"/>
      <c r="U352" s="48"/>
      <c r="V352" s="48"/>
      <c r="W352" s="48"/>
    </row>
    <row r="353" ht="32.9" customHeight="true" spans="1:23">
      <c r="A353" s="18"/>
      <c r="B353" s="18"/>
      <c r="C353" s="18" t="s">
        <v>734</v>
      </c>
      <c r="D353" s="18"/>
      <c r="E353" s="18"/>
      <c r="F353" s="18"/>
      <c r="G353" s="18"/>
      <c r="H353" s="18"/>
      <c r="I353" s="48">
        <v>30000</v>
      </c>
      <c r="J353" s="48">
        <v>30000</v>
      </c>
      <c r="K353" s="48">
        <v>30000</v>
      </c>
      <c r="L353" s="48"/>
      <c r="M353" s="48"/>
      <c r="N353" s="48"/>
      <c r="O353" s="48"/>
      <c r="P353" s="48"/>
      <c r="Q353" s="48"/>
      <c r="R353" s="48"/>
      <c r="S353" s="48"/>
      <c r="T353" s="48"/>
      <c r="U353" s="48"/>
      <c r="V353" s="48"/>
      <c r="W353" s="48"/>
    </row>
    <row r="354" ht="32.9" customHeight="true" spans="1:23">
      <c r="A354" s="18" t="s">
        <v>538</v>
      </c>
      <c r="B354" s="155" t="s">
        <v>735</v>
      </c>
      <c r="C354" s="18" t="s">
        <v>734</v>
      </c>
      <c r="D354" s="18" t="s">
        <v>73</v>
      </c>
      <c r="E354" s="18" t="s">
        <v>142</v>
      </c>
      <c r="F354" s="18" t="s">
        <v>549</v>
      </c>
      <c r="G354" s="18" t="s">
        <v>625</v>
      </c>
      <c r="H354" s="18" t="s">
        <v>626</v>
      </c>
      <c r="I354" s="48">
        <v>30000</v>
      </c>
      <c r="J354" s="48">
        <v>30000</v>
      </c>
      <c r="K354" s="48">
        <v>30000</v>
      </c>
      <c r="L354" s="48"/>
      <c r="M354" s="48"/>
      <c r="N354" s="48"/>
      <c r="O354" s="48"/>
      <c r="P354" s="48"/>
      <c r="Q354" s="48"/>
      <c r="R354" s="48"/>
      <c r="S354" s="48"/>
      <c r="T354" s="48"/>
      <c r="U354" s="48"/>
      <c r="V354" s="48"/>
      <c r="W354" s="48"/>
    </row>
    <row r="355" ht="32.9" customHeight="true" spans="1:23">
      <c r="A355" s="18"/>
      <c r="B355" s="18"/>
      <c r="C355" s="18" t="s">
        <v>736</v>
      </c>
      <c r="D355" s="18"/>
      <c r="E355" s="18"/>
      <c r="F355" s="18"/>
      <c r="G355" s="18"/>
      <c r="H355" s="18"/>
      <c r="I355" s="48">
        <v>2600000</v>
      </c>
      <c r="J355" s="48"/>
      <c r="K355" s="48"/>
      <c r="L355" s="48"/>
      <c r="M355" s="48"/>
      <c r="N355" s="48"/>
      <c r="O355" s="48"/>
      <c r="P355" s="48"/>
      <c r="Q355" s="48"/>
      <c r="R355" s="48">
        <v>2600000</v>
      </c>
      <c r="S355" s="48">
        <v>2600000</v>
      </c>
      <c r="T355" s="48"/>
      <c r="U355" s="48"/>
      <c r="V355" s="48"/>
      <c r="W355" s="48"/>
    </row>
    <row r="356" ht="32.9" customHeight="true" spans="1:23">
      <c r="A356" s="18" t="s">
        <v>559</v>
      </c>
      <c r="B356" s="155" t="s">
        <v>737</v>
      </c>
      <c r="C356" s="18" t="s">
        <v>736</v>
      </c>
      <c r="D356" s="18" t="s">
        <v>73</v>
      </c>
      <c r="E356" s="18" t="s">
        <v>140</v>
      </c>
      <c r="F356" s="18" t="s">
        <v>398</v>
      </c>
      <c r="G356" s="18" t="s">
        <v>629</v>
      </c>
      <c r="H356" s="18" t="s">
        <v>630</v>
      </c>
      <c r="I356" s="48">
        <v>2600000</v>
      </c>
      <c r="J356" s="48"/>
      <c r="K356" s="48"/>
      <c r="L356" s="48"/>
      <c r="M356" s="48"/>
      <c r="N356" s="48"/>
      <c r="O356" s="48"/>
      <c r="P356" s="48"/>
      <c r="Q356" s="48"/>
      <c r="R356" s="48">
        <v>2600000</v>
      </c>
      <c r="S356" s="48">
        <v>2600000</v>
      </c>
      <c r="T356" s="48"/>
      <c r="U356" s="48"/>
      <c r="V356" s="48"/>
      <c r="W356" s="48"/>
    </row>
    <row r="357" ht="32.9" customHeight="true" spans="1:23">
      <c r="A357" s="18"/>
      <c r="B357" s="18"/>
      <c r="C357" s="18" t="s">
        <v>738</v>
      </c>
      <c r="D357" s="18"/>
      <c r="E357" s="18"/>
      <c r="F357" s="18"/>
      <c r="G357" s="18"/>
      <c r="H357" s="18"/>
      <c r="I357" s="48">
        <v>1697050</v>
      </c>
      <c r="J357" s="48"/>
      <c r="K357" s="48"/>
      <c r="L357" s="48"/>
      <c r="M357" s="48"/>
      <c r="N357" s="48">
        <v>1697050</v>
      </c>
      <c r="O357" s="48"/>
      <c r="P357" s="48"/>
      <c r="Q357" s="48"/>
      <c r="R357" s="48"/>
      <c r="S357" s="48"/>
      <c r="T357" s="48"/>
      <c r="U357" s="48"/>
      <c r="V357" s="48"/>
      <c r="W357" s="48"/>
    </row>
    <row r="358" ht="32.9" customHeight="true" spans="1:23">
      <c r="A358" s="18" t="s">
        <v>559</v>
      </c>
      <c r="B358" s="155" t="s">
        <v>739</v>
      </c>
      <c r="C358" s="18" t="s">
        <v>738</v>
      </c>
      <c r="D358" s="18" t="s">
        <v>75</v>
      </c>
      <c r="E358" s="18" t="s">
        <v>128</v>
      </c>
      <c r="F358" s="18" t="s">
        <v>424</v>
      </c>
      <c r="G358" s="18" t="s">
        <v>728</v>
      </c>
      <c r="H358" s="18" t="s">
        <v>729</v>
      </c>
      <c r="I358" s="48">
        <v>1697050</v>
      </c>
      <c r="J358" s="48"/>
      <c r="K358" s="48"/>
      <c r="L358" s="48"/>
      <c r="M358" s="48"/>
      <c r="N358" s="48">
        <v>1697050</v>
      </c>
      <c r="O358" s="48"/>
      <c r="P358" s="48"/>
      <c r="Q358" s="48"/>
      <c r="R358" s="48"/>
      <c r="S358" s="48"/>
      <c r="T358" s="48"/>
      <c r="U358" s="48"/>
      <c r="V358" s="48"/>
      <c r="W358" s="48"/>
    </row>
    <row r="359" ht="32.9" customHeight="true" spans="1:23">
      <c r="A359" s="18"/>
      <c r="B359" s="18"/>
      <c r="C359" s="18" t="s">
        <v>740</v>
      </c>
      <c r="D359" s="18"/>
      <c r="E359" s="18"/>
      <c r="F359" s="18"/>
      <c r="G359" s="18"/>
      <c r="H359" s="18"/>
      <c r="I359" s="48">
        <v>3729.31</v>
      </c>
      <c r="J359" s="48"/>
      <c r="K359" s="48"/>
      <c r="L359" s="48"/>
      <c r="M359" s="48"/>
      <c r="N359" s="48">
        <v>3729.31</v>
      </c>
      <c r="O359" s="48"/>
      <c r="P359" s="48"/>
      <c r="Q359" s="48"/>
      <c r="R359" s="48"/>
      <c r="S359" s="48"/>
      <c r="T359" s="48"/>
      <c r="U359" s="48"/>
      <c r="V359" s="48"/>
      <c r="W359" s="48"/>
    </row>
    <row r="360" ht="32.9" customHeight="true" spans="1:23">
      <c r="A360" s="18" t="s">
        <v>559</v>
      </c>
      <c r="B360" s="155" t="s">
        <v>741</v>
      </c>
      <c r="C360" s="18" t="s">
        <v>740</v>
      </c>
      <c r="D360" s="18" t="s">
        <v>75</v>
      </c>
      <c r="E360" s="18" t="s">
        <v>154</v>
      </c>
      <c r="F360" s="18" t="s">
        <v>569</v>
      </c>
      <c r="G360" s="18" t="s">
        <v>625</v>
      </c>
      <c r="H360" s="18" t="s">
        <v>626</v>
      </c>
      <c r="I360" s="48">
        <v>3729.31</v>
      </c>
      <c r="J360" s="48"/>
      <c r="K360" s="48"/>
      <c r="L360" s="48"/>
      <c r="M360" s="48"/>
      <c r="N360" s="48">
        <v>3729.31</v>
      </c>
      <c r="O360" s="48"/>
      <c r="P360" s="48"/>
      <c r="Q360" s="48"/>
      <c r="R360" s="48"/>
      <c r="S360" s="48"/>
      <c r="T360" s="48"/>
      <c r="U360" s="48"/>
      <c r="V360" s="48"/>
      <c r="W360" s="48"/>
    </row>
    <row r="361" ht="32.9" customHeight="true" spans="1:23">
      <c r="A361" s="18"/>
      <c r="B361" s="18"/>
      <c r="C361" s="18" t="s">
        <v>742</v>
      </c>
      <c r="D361" s="18"/>
      <c r="E361" s="18"/>
      <c r="F361" s="18"/>
      <c r="G361" s="18"/>
      <c r="H361" s="18"/>
      <c r="I361" s="48">
        <v>885945923</v>
      </c>
      <c r="J361" s="48"/>
      <c r="K361" s="48"/>
      <c r="L361" s="48"/>
      <c r="M361" s="48"/>
      <c r="N361" s="48"/>
      <c r="O361" s="48"/>
      <c r="P361" s="48"/>
      <c r="Q361" s="48"/>
      <c r="R361" s="48">
        <v>885945923</v>
      </c>
      <c r="S361" s="48">
        <v>885945923</v>
      </c>
      <c r="T361" s="48"/>
      <c r="U361" s="48"/>
      <c r="V361" s="48"/>
      <c r="W361" s="48"/>
    </row>
    <row r="362" ht="32.9" customHeight="true" spans="1:23">
      <c r="A362" s="18" t="s">
        <v>559</v>
      </c>
      <c r="B362" s="155" t="s">
        <v>743</v>
      </c>
      <c r="C362" s="18" t="s">
        <v>742</v>
      </c>
      <c r="D362" s="18" t="s">
        <v>75</v>
      </c>
      <c r="E362" s="18" t="s">
        <v>128</v>
      </c>
      <c r="F362" s="18" t="s">
        <v>424</v>
      </c>
      <c r="G362" s="18" t="s">
        <v>275</v>
      </c>
      <c r="H362" s="18" t="s">
        <v>276</v>
      </c>
      <c r="I362" s="48">
        <v>562500</v>
      </c>
      <c r="J362" s="48"/>
      <c r="K362" s="48"/>
      <c r="L362" s="48"/>
      <c r="M362" s="48"/>
      <c r="N362" s="48"/>
      <c r="O362" s="48"/>
      <c r="P362" s="48"/>
      <c r="Q362" s="48"/>
      <c r="R362" s="48">
        <v>562500</v>
      </c>
      <c r="S362" s="48">
        <v>562500</v>
      </c>
      <c r="T362" s="48"/>
      <c r="U362" s="48"/>
      <c r="V362" s="48"/>
      <c r="W362" s="48"/>
    </row>
    <row r="363" ht="32.9" customHeight="true" spans="1:23">
      <c r="A363" s="18" t="s">
        <v>559</v>
      </c>
      <c r="B363" s="155" t="s">
        <v>743</v>
      </c>
      <c r="C363" s="18" t="s">
        <v>742</v>
      </c>
      <c r="D363" s="18" t="s">
        <v>75</v>
      </c>
      <c r="E363" s="18" t="s">
        <v>128</v>
      </c>
      <c r="F363" s="18" t="s">
        <v>424</v>
      </c>
      <c r="G363" s="18" t="s">
        <v>341</v>
      </c>
      <c r="H363" s="18" t="s">
        <v>342</v>
      </c>
      <c r="I363" s="48">
        <v>20000</v>
      </c>
      <c r="J363" s="48"/>
      <c r="K363" s="48"/>
      <c r="L363" s="48"/>
      <c r="M363" s="48"/>
      <c r="N363" s="48"/>
      <c r="O363" s="48"/>
      <c r="P363" s="48"/>
      <c r="Q363" s="48"/>
      <c r="R363" s="48">
        <v>20000</v>
      </c>
      <c r="S363" s="48">
        <v>20000</v>
      </c>
      <c r="T363" s="48"/>
      <c r="U363" s="48"/>
      <c r="V363" s="48"/>
      <c r="W363" s="48"/>
    </row>
    <row r="364" ht="32.9" customHeight="true" spans="1:23">
      <c r="A364" s="18" t="s">
        <v>559</v>
      </c>
      <c r="B364" s="155" t="s">
        <v>743</v>
      </c>
      <c r="C364" s="18" t="s">
        <v>742</v>
      </c>
      <c r="D364" s="18" t="s">
        <v>75</v>
      </c>
      <c r="E364" s="18" t="s">
        <v>128</v>
      </c>
      <c r="F364" s="18" t="s">
        <v>424</v>
      </c>
      <c r="G364" s="18" t="s">
        <v>308</v>
      </c>
      <c r="H364" s="18" t="s">
        <v>309</v>
      </c>
      <c r="I364" s="48">
        <v>3100000</v>
      </c>
      <c r="J364" s="48"/>
      <c r="K364" s="48"/>
      <c r="L364" s="48"/>
      <c r="M364" s="48"/>
      <c r="N364" s="48"/>
      <c r="O364" s="48"/>
      <c r="P364" s="48"/>
      <c r="Q364" s="48"/>
      <c r="R364" s="48">
        <v>3100000</v>
      </c>
      <c r="S364" s="48">
        <v>3100000</v>
      </c>
      <c r="T364" s="48"/>
      <c r="U364" s="48"/>
      <c r="V364" s="48"/>
      <c r="W364" s="48"/>
    </row>
    <row r="365" ht="32.9" customHeight="true" spans="1:23">
      <c r="A365" s="18" t="s">
        <v>559</v>
      </c>
      <c r="B365" s="155" t="s">
        <v>743</v>
      </c>
      <c r="C365" s="18" t="s">
        <v>742</v>
      </c>
      <c r="D365" s="18" t="s">
        <v>75</v>
      </c>
      <c r="E365" s="18" t="s">
        <v>128</v>
      </c>
      <c r="F365" s="18" t="s">
        <v>424</v>
      </c>
      <c r="G365" s="18" t="s">
        <v>310</v>
      </c>
      <c r="H365" s="18" t="s">
        <v>311</v>
      </c>
      <c r="I365" s="48">
        <v>7500000</v>
      </c>
      <c r="J365" s="48"/>
      <c r="K365" s="48"/>
      <c r="L365" s="48"/>
      <c r="M365" s="48"/>
      <c r="N365" s="48"/>
      <c r="O365" s="48"/>
      <c r="P365" s="48"/>
      <c r="Q365" s="48"/>
      <c r="R365" s="48">
        <v>7500000</v>
      </c>
      <c r="S365" s="48">
        <v>7500000</v>
      </c>
      <c r="T365" s="48"/>
      <c r="U365" s="48"/>
      <c r="V365" s="48"/>
      <c r="W365" s="48"/>
    </row>
    <row r="366" ht="32.9" customHeight="true" spans="1:23">
      <c r="A366" s="18" t="s">
        <v>559</v>
      </c>
      <c r="B366" s="155" t="s">
        <v>743</v>
      </c>
      <c r="C366" s="18" t="s">
        <v>742</v>
      </c>
      <c r="D366" s="18" t="s">
        <v>75</v>
      </c>
      <c r="E366" s="18" t="s">
        <v>128</v>
      </c>
      <c r="F366" s="18" t="s">
        <v>424</v>
      </c>
      <c r="G366" s="18" t="s">
        <v>312</v>
      </c>
      <c r="H366" s="18" t="s">
        <v>313</v>
      </c>
      <c r="I366" s="48">
        <v>235000</v>
      </c>
      <c r="J366" s="48"/>
      <c r="K366" s="48"/>
      <c r="L366" s="48"/>
      <c r="M366" s="48"/>
      <c r="N366" s="48"/>
      <c r="O366" s="48"/>
      <c r="P366" s="48"/>
      <c r="Q366" s="48"/>
      <c r="R366" s="48">
        <v>235000</v>
      </c>
      <c r="S366" s="48">
        <v>235000</v>
      </c>
      <c r="T366" s="48"/>
      <c r="U366" s="48"/>
      <c r="V366" s="48"/>
      <c r="W366" s="48"/>
    </row>
    <row r="367" ht="32.9" customHeight="true" spans="1:23">
      <c r="A367" s="18" t="s">
        <v>559</v>
      </c>
      <c r="B367" s="155" t="s">
        <v>743</v>
      </c>
      <c r="C367" s="18" t="s">
        <v>742</v>
      </c>
      <c r="D367" s="18" t="s">
        <v>75</v>
      </c>
      <c r="E367" s="18" t="s">
        <v>128</v>
      </c>
      <c r="F367" s="18" t="s">
        <v>424</v>
      </c>
      <c r="G367" s="18" t="s">
        <v>331</v>
      </c>
      <c r="H367" s="18" t="s">
        <v>330</v>
      </c>
      <c r="I367" s="48">
        <v>11869899</v>
      </c>
      <c r="J367" s="48"/>
      <c r="K367" s="48"/>
      <c r="L367" s="48"/>
      <c r="M367" s="48"/>
      <c r="N367" s="48"/>
      <c r="O367" s="48"/>
      <c r="P367" s="48"/>
      <c r="Q367" s="48"/>
      <c r="R367" s="48">
        <v>11869899</v>
      </c>
      <c r="S367" s="48">
        <v>11869899</v>
      </c>
      <c r="T367" s="48"/>
      <c r="U367" s="48"/>
      <c r="V367" s="48"/>
      <c r="W367" s="48"/>
    </row>
    <row r="368" ht="32.9" customHeight="true" spans="1:23">
      <c r="A368" s="18" t="s">
        <v>559</v>
      </c>
      <c r="B368" s="155" t="s">
        <v>743</v>
      </c>
      <c r="C368" s="18" t="s">
        <v>742</v>
      </c>
      <c r="D368" s="18" t="s">
        <v>75</v>
      </c>
      <c r="E368" s="18" t="s">
        <v>128</v>
      </c>
      <c r="F368" s="18" t="s">
        <v>424</v>
      </c>
      <c r="G368" s="18" t="s">
        <v>277</v>
      </c>
      <c r="H368" s="18" t="s">
        <v>278</v>
      </c>
      <c r="I368" s="48">
        <v>270000</v>
      </c>
      <c r="J368" s="48"/>
      <c r="K368" s="48"/>
      <c r="L368" s="48"/>
      <c r="M368" s="48"/>
      <c r="N368" s="48"/>
      <c r="O368" s="48"/>
      <c r="P368" s="48"/>
      <c r="Q368" s="48"/>
      <c r="R368" s="48">
        <v>270000</v>
      </c>
      <c r="S368" s="48">
        <v>270000</v>
      </c>
      <c r="T368" s="48"/>
      <c r="U368" s="48"/>
      <c r="V368" s="48"/>
      <c r="W368" s="48"/>
    </row>
    <row r="369" ht="32.9" customHeight="true" spans="1:23">
      <c r="A369" s="18" t="s">
        <v>559</v>
      </c>
      <c r="B369" s="155" t="s">
        <v>743</v>
      </c>
      <c r="C369" s="18" t="s">
        <v>742</v>
      </c>
      <c r="D369" s="18" t="s">
        <v>75</v>
      </c>
      <c r="E369" s="18" t="s">
        <v>128</v>
      </c>
      <c r="F369" s="18" t="s">
        <v>424</v>
      </c>
      <c r="G369" s="18" t="s">
        <v>314</v>
      </c>
      <c r="H369" s="18" t="s">
        <v>315</v>
      </c>
      <c r="I369" s="48">
        <v>28043520</v>
      </c>
      <c r="J369" s="48"/>
      <c r="K369" s="48"/>
      <c r="L369" s="48"/>
      <c r="M369" s="48"/>
      <c r="N369" s="48"/>
      <c r="O369" s="48"/>
      <c r="P369" s="48"/>
      <c r="Q369" s="48"/>
      <c r="R369" s="48">
        <v>28043520</v>
      </c>
      <c r="S369" s="48">
        <v>28043520</v>
      </c>
      <c r="T369" s="48"/>
      <c r="U369" s="48"/>
      <c r="V369" s="48"/>
      <c r="W369" s="48"/>
    </row>
    <row r="370" ht="32.9" customHeight="true" spans="1:23">
      <c r="A370" s="18" t="s">
        <v>559</v>
      </c>
      <c r="B370" s="155" t="s">
        <v>743</v>
      </c>
      <c r="C370" s="18" t="s">
        <v>742</v>
      </c>
      <c r="D370" s="18" t="s">
        <v>75</v>
      </c>
      <c r="E370" s="18" t="s">
        <v>128</v>
      </c>
      <c r="F370" s="18" t="s">
        <v>424</v>
      </c>
      <c r="G370" s="18" t="s">
        <v>328</v>
      </c>
      <c r="H370" s="18" t="s">
        <v>327</v>
      </c>
      <c r="I370" s="48">
        <v>288437</v>
      </c>
      <c r="J370" s="48"/>
      <c r="K370" s="48"/>
      <c r="L370" s="48"/>
      <c r="M370" s="48"/>
      <c r="N370" s="48"/>
      <c r="O370" s="48"/>
      <c r="P370" s="48"/>
      <c r="Q370" s="48"/>
      <c r="R370" s="48">
        <v>288437</v>
      </c>
      <c r="S370" s="48">
        <v>288437</v>
      </c>
      <c r="T370" s="48"/>
      <c r="U370" s="48"/>
      <c r="V370" s="48"/>
      <c r="W370" s="48"/>
    </row>
    <row r="371" ht="32.9" customHeight="true" spans="1:23">
      <c r="A371" s="18" t="s">
        <v>559</v>
      </c>
      <c r="B371" s="155" t="s">
        <v>743</v>
      </c>
      <c r="C371" s="18" t="s">
        <v>742</v>
      </c>
      <c r="D371" s="18" t="s">
        <v>75</v>
      </c>
      <c r="E371" s="18" t="s">
        <v>128</v>
      </c>
      <c r="F371" s="18" t="s">
        <v>424</v>
      </c>
      <c r="G371" s="18" t="s">
        <v>281</v>
      </c>
      <c r="H371" s="18" t="s">
        <v>282</v>
      </c>
      <c r="I371" s="48">
        <v>4000000</v>
      </c>
      <c r="J371" s="48"/>
      <c r="K371" s="48"/>
      <c r="L371" s="48"/>
      <c r="M371" s="48"/>
      <c r="N371" s="48"/>
      <c r="O371" s="48"/>
      <c r="P371" s="48"/>
      <c r="Q371" s="48"/>
      <c r="R371" s="48">
        <v>4000000</v>
      </c>
      <c r="S371" s="48">
        <v>4000000</v>
      </c>
      <c r="T371" s="48"/>
      <c r="U371" s="48"/>
      <c r="V371" s="48"/>
      <c r="W371" s="48"/>
    </row>
    <row r="372" ht="32.9" customHeight="true" spans="1:23">
      <c r="A372" s="18" t="s">
        <v>559</v>
      </c>
      <c r="B372" s="155" t="s">
        <v>743</v>
      </c>
      <c r="C372" s="18" t="s">
        <v>742</v>
      </c>
      <c r="D372" s="18" t="s">
        <v>75</v>
      </c>
      <c r="E372" s="18" t="s">
        <v>128</v>
      </c>
      <c r="F372" s="18" t="s">
        <v>424</v>
      </c>
      <c r="G372" s="18" t="s">
        <v>290</v>
      </c>
      <c r="H372" s="18" t="s">
        <v>193</v>
      </c>
      <c r="I372" s="48">
        <v>50000</v>
      </c>
      <c r="J372" s="48"/>
      <c r="K372" s="48"/>
      <c r="L372" s="48"/>
      <c r="M372" s="48"/>
      <c r="N372" s="48"/>
      <c r="O372" s="48"/>
      <c r="P372" s="48"/>
      <c r="Q372" s="48"/>
      <c r="R372" s="48">
        <v>50000</v>
      </c>
      <c r="S372" s="48">
        <v>50000</v>
      </c>
      <c r="T372" s="48"/>
      <c r="U372" s="48"/>
      <c r="V372" s="48"/>
      <c r="W372" s="48"/>
    </row>
    <row r="373" ht="32.9" customHeight="true" spans="1:23">
      <c r="A373" s="18" t="s">
        <v>559</v>
      </c>
      <c r="B373" s="155" t="s">
        <v>743</v>
      </c>
      <c r="C373" s="18" t="s">
        <v>742</v>
      </c>
      <c r="D373" s="18" t="s">
        <v>75</v>
      </c>
      <c r="E373" s="18" t="s">
        <v>128</v>
      </c>
      <c r="F373" s="18" t="s">
        <v>424</v>
      </c>
      <c r="G373" s="18" t="s">
        <v>625</v>
      </c>
      <c r="H373" s="18" t="s">
        <v>626</v>
      </c>
      <c r="I373" s="48">
        <v>677575000</v>
      </c>
      <c r="J373" s="48"/>
      <c r="K373" s="48"/>
      <c r="L373" s="48"/>
      <c r="M373" s="48"/>
      <c r="N373" s="48"/>
      <c r="O373" s="48"/>
      <c r="P373" s="48"/>
      <c r="Q373" s="48"/>
      <c r="R373" s="48">
        <v>677575000</v>
      </c>
      <c r="S373" s="48">
        <v>677575000</v>
      </c>
      <c r="T373" s="48"/>
      <c r="U373" s="48"/>
      <c r="V373" s="48"/>
      <c r="W373" s="48"/>
    </row>
    <row r="374" ht="32.9" customHeight="true" spans="1:23">
      <c r="A374" s="18" t="s">
        <v>559</v>
      </c>
      <c r="B374" s="155" t="s">
        <v>743</v>
      </c>
      <c r="C374" s="18" t="s">
        <v>742</v>
      </c>
      <c r="D374" s="18" t="s">
        <v>75</v>
      </c>
      <c r="E374" s="18" t="s">
        <v>128</v>
      </c>
      <c r="F374" s="18" t="s">
        <v>424</v>
      </c>
      <c r="G374" s="18" t="s">
        <v>744</v>
      </c>
      <c r="H374" s="18" t="s">
        <v>745</v>
      </c>
      <c r="I374" s="48">
        <v>550000</v>
      </c>
      <c r="J374" s="48"/>
      <c r="K374" s="48"/>
      <c r="L374" s="48"/>
      <c r="M374" s="48"/>
      <c r="N374" s="48"/>
      <c r="O374" s="48"/>
      <c r="P374" s="48"/>
      <c r="Q374" s="48"/>
      <c r="R374" s="48">
        <v>550000</v>
      </c>
      <c r="S374" s="48">
        <v>550000</v>
      </c>
      <c r="T374" s="48"/>
      <c r="U374" s="48"/>
      <c r="V374" s="48"/>
      <c r="W374" s="48"/>
    </row>
    <row r="375" ht="32.9" customHeight="true" spans="1:23">
      <c r="A375" s="18" t="s">
        <v>559</v>
      </c>
      <c r="B375" s="155" t="s">
        <v>743</v>
      </c>
      <c r="C375" s="18" t="s">
        <v>742</v>
      </c>
      <c r="D375" s="18" t="s">
        <v>75</v>
      </c>
      <c r="E375" s="18" t="s">
        <v>128</v>
      </c>
      <c r="F375" s="18" t="s">
        <v>424</v>
      </c>
      <c r="G375" s="18" t="s">
        <v>316</v>
      </c>
      <c r="H375" s="18" t="s">
        <v>317</v>
      </c>
      <c r="I375" s="48">
        <v>4081500</v>
      </c>
      <c r="J375" s="48"/>
      <c r="K375" s="48"/>
      <c r="L375" s="48"/>
      <c r="M375" s="48"/>
      <c r="N375" s="48"/>
      <c r="O375" s="48"/>
      <c r="P375" s="48"/>
      <c r="Q375" s="48"/>
      <c r="R375" s="48">
        <v>4081500</v>
      </c>
      <c r="S375" s="48">
        <v>4081500</v>
      </c>
      <c r="T375" s="48"/>
      <c r="U375" s="48"/>
      <c r="V375" s="48"/>
      <c r="W375" s="48"/>
    </row>
    <row r="376" ht="32.9" customHeight="true" spans="1:23">
      <c r="A376" s="18" t="s">
        <v>559</v>
      </c>
      <c r="B376" s="155" t="s">
        <v>743</v>
      </c>
      <c r="C376" s="18" t="s">
        <v>742</v>
      </c>
      <c r="D376" s="18" t="s">
        <v>75</v>
      </c>
      <c r="E376" s="18" t="s">
        <v>128</v>
      </c>
      <c r="F376" s="18" t="s">
        <v>424</v>
      </c>
      <c r="G376" s="18" t="s">
        <v>283</v>
      </c>
      <c r="H376" s="18" t="s">
        <v>284</v>
      </c>
      <c r="I376" s="48">
        <v>12445850</v>
      </c>
      <c r="J376" s="48"/>
      <c r="K376" s="48"/>
      <c r="L376" s="48"/>
      <c r="M376" s="48"/>
      <c r="N376" s="48"/>
      <c r="O376" s="48"/>
      <c r="P376" s="48"/>
      <c r="Q376" s="48"/>
      <c r="R376" s="48">
        <v>12445850</v>
      </c>
      <c r="S376" s="48">
        <v>12445850</v>
      </c>
      <c r="T376" s="48"/>
      <c r="U376" s="48"/>
      <c r="V376" s="48"/>
      <c r="W376" s="48"/>
    </row>
    <row r="377" ht="32.9" customHeight="true" spans="1:23">
      <c r="A377" s="18" t="s">
        <v>559</v>
      </c>
      <c r="B377" s="155" t="s">
        <v>743</v>
      </c>
      <c r="C377" s="18" t="s">
        <v>742</v>
      </c>
      <c r="D377" s="18" t="s">
        <v>75</v>
      </c>
      <c r="E377" s="18" t="s">
        <v>128</v>
      </c>
      <c r="F377" s="18" t="s">
        <v>424</v>
      </c>
      <c r="G377" s="18" t="s">
        <v>270</v>
      </c>
      <c r="H377" s="18" t="s">
        <v>269</v>
      </c>
      <c r="I377" s="48">
        <v>7360000</v>
      </c>
      <c r="J377" s="48"/>
      <c r="K377" s="48"/>
      <c r="L377" s="48"/>
      <c r="M377" s="48"/>
      <c r="N377" s="48"/>
      <c r="O377" s="48"/>
      <c r="P377" s="48"/>
      <c r="Q377" s="48"/>
      <c r="R377" s="48">
        <v>7360000</v>
      </c>
      <c r="S377" s="48">
        <v>7360000</v>
      </c>
      <c r="T377" s="48"/>
      <c r="U377" s="48"/>
      <c r="V377" s="48"/>
      <c r="W377" s="48"/>
    </row>
    <row r="378" ht="32.9" customHeight="true" spans="1:23">
      <c r="A378" s="18" t="s">
        <v>559</v>
      </c>
      <c r="B378" s="155" t="s">
        <v>743</v>
      </c>
      <c r="C378" s="18" t="s">
        <v>742</v>
      </c>
      <c r="D378" s="18" t="s">
        <v>75</v>
      </c>
      <c r="E378" s="18" t="s">
        <v>128</v>
      </c>
      <c r="F378" s="18" t="s">
        <v>424</v>
      </c>
      <c r="G378" s="18" t="s">
        <v>285</v>
      </c>
      <c r="H378" s="18" t="s">
        <v>286</v>
      </c>
      <c r="I378" s="48">
        <v>2757500</v>
      </c>
      <c r="J378" s="48"/>
      <c r="K378" s="48"/>
      <c r="L378" s="48"/>
      <c r="M378" s="48"/>
      <c r="N378" s="48"/>
      <c r="O378" s="48"/>
      <c r="P378" s="48"/>
      <c r="Q378" s="48"/>
      <c r="R378" s="48">
        <v>2757500</v>
      </c>
      <c r="S378" s="48">
        <v>2757500</v>
      </c>
      <c r="T378" s="48"/>
      <c r="U378" s="48"/>
      <c r="V378" s="48"/>
      <c r="W378" s="48"/>
    </row>
    <row r="379" ht="32.9" customHeight="true" spans="1:23">
      <c r="A379" s="18" t="s">
        <v>559</v>
      </c>
      <c r="B379" s="155" t="s">
        <v>743</v>
      </c>
      <c r="C379" s="18" t="s">
        <v>742</v>
      </c>
      <c r="D379" s="18" t="s">
        <v>75</v>
      </c>
      <c r="E379" s="18" t="s">
        <v>128</v>
      </c>
      <c r="F379" s="18" t="s">
        <v>424</v>
      </c>
      <c r="G379" s="18" t="s">
        <v>262</v>
      </c>
      <c r="H379" s="18" t="s">
        <v>263</v>
      </c>
      <c r="I379" s="48">
        <v>390000</v>
      </c>
      <c r="J379" s="48"/>
      <c r="K379" s="48"/>
      <c r="L379" s="48"/>
      <c r="M379" s="48"/>
      <c r="N379" s="48"/>
      <c r="O379" s="48"/>
      <c r="P379" s="48"/>
      <c r="Q379" s="48"/>
      <c r="R379" s="48">
        <v>390000</v>
      </c>
      <c r="S379" s="48">
        <v>390000</v>
      </c>
      <c r="T379" s="48"/>
      <c r="U379" s="48"/>
      <c r="V379" s="48"/>
      <c r="W379" s="48"/>
    </row>
    <row r="380" ht="32.9" customHeight="true" spans="1:23">
      <c r="A380" s="18" t="s">
        <v>559</v>
      </c>
      <c r="B380" s="155" t="s">
        <v>743</v>
      </c>
      <c r="C380" s="18" t="s">
        <v>742</v>
      </c>
      <c r="D380" s="18" t="s">
        <v>75</v>
      </c>
      <c r="E380" s="18" t="s">
        <v>128</v>
      </c>
      <c r="F380" s="18" t="s">
        <v>424</v>
      </c>
      <c r="G380" s="18" t="s">
        <v>746</v>
      </c>
      <c r="H380" s="18" t="s">
        <v>747</v>
      </c>
      <c r="I380" s="48">
        <v>1000000</v>
      </c>
      <c r="J380" s="48"/>
      <c r="K380" s="48"/>
      <c r="L380" s="48"/>
      <c r="M380" s="48"/>
      <c r="N380" s="48"/>
      <c r="O380" s="48"/>
      <c r="P380" s="48"/>
      <c r="Q380" s="48"/>
      <c r="R380" s="48">
        <v>1000000</v>
      </c>
      <c r="S380" s="48">
        <v>1000000</v>
      </c>
      <c r="T380" s="48"/>
      <c r="U380" s="48"/>
      <c r="V380" s="48"/>
      <c r="W380" s="48"/>
    </row>
    <row r="381" ht="32.9" customHeight="true" spans="1:23">
      <c r="A381" s="18" t="s">
        <v>559</v>
      </c>
      <c r="B381" s="155" t="s">
        <v>743</v>
      </c>
      <c r="C381" s="18" t="s">
        <v>742</v>
      </c>
      <c r="D381" s="18" t="s">
        <v>75</v>
      </c>
      <c r="E381" s="18" t="s">
        <v>128</v>
      </c>
      <c r="F381" s="18" t="s">
        <v>424</v>
      </c>
      <c r="G381" s="18" t="s">
        <v>273</v>
      </c>
      <c r="H381" s="18" t="s">
        <v>274</v>
      </c>
      <c r="I381" s="48">
        <v>11199725</v>
      </c>
      <c r="J381" s="48"/>
      <c r="K381" s="48"/>
      <c r="L381" s="48"/>
      <c r="M381" s="48"/>
      <c r="N381" s="48"/>
      <c r="O381" s="48"/>
      <c r="P381" s="48"/>
      <c r="Q381" s="48"/>
      <c r="R381" s="48">
        <v>11199725</v>
      </c>
      <c r="S381" s="48">
        <v>11199725</v>
      </c>
      <c r="T381" s="48"/>
      <c r="U381" s="48"/>
      <c r="V381" s="48"/>
      <c r="W381" s="48"/>
    </row>
    <row r="382" ht="32.9" customHeight="true" spans="1:23">
      <c r="A382" s="18" t="s">
        <v>559</v>
      </c>
      <c r="B382" s="155" t="s">
        <v>743</v>
      </c>
      <c r="C382" s="18" t="s">
        <v>742</v>
      </c>
      <c r="D382" s="18" t="s">
        <v>75</v>
      </c>
      <c r="E382" s="18" t="s">
        <v>128</v>
      </c>
      <c r="F382" s="18" t="s">
        <v>424</v>
      </c>
      <c r="G382" s="18" t="s">
        <v>728</v>
      </c>
      <c r="H382" s="18" t="s">
        <v>729</v>
      </c>
      <c r="I382" s="48">
        <v>30000000</v>
      </c>
      <c r="J382" s="48"/>
      <c r="K382" s="48"/>
      <c r="L382" s="48"/>
      <c r="M382" s="48"/>
      <c r="N382" s="48"/>
      <c r="O382" s="48"/>
      <c r="P382" s="48"/>
      <c r="Q382" s="48"/>
      <c r="R382" s="48">
        <v>30000000</v>
      </c>
      <c r="S382" s="48">
        <v>30000000</v>
      </c>
      <c r="T382" s="48"/>
      <c r="U382" s="48"/>
      <c r="V382" s="48"/>
      <c r="W382" s="48"/>
    </row>
    <row r="383" ht="32.9" customHeight="true" spans="1:23">
      <c r="A383" s="18" t="s">
        <v>559</v>
      </c>
      <c r="B383" s="155" t="s">
        <v>743</v>
      </c>
      <c r="C383" s="18" t="s">
        <v>742</v>
      </c>
      <c r="D383" s="18" t="s">
        <v>75</v>
      </c>
      <c r="E383" s="18" t="s">
        <v>128</v>
      </c>
      <c r="F383" s="18" t="s">
        <v>424</v>
      </c>
      <c r="G383" s="18" t="s">
        <v>287</v>
      </c>
      <c r="H383" s="18" t="s">
        <v>288</v>
      </c>
      <c r="I383" s="48">
        <v>5500000</v>
      </c>
      <c r="J383" s="48"/>
      <c r="K383" s="48"/>
      <c r="L383" s="48"/>
      <c r="M383" s="48"/>
      <c r="N383" s="48"/>
      <c r="O383" s="48"/>
      <c r="P383" s="48"/>
      <c r="Q383" s="48"/>
      <c r="R383" s="48">
        <v>5500000</v>
      </c>
      <c r="S383" s="48">
        <v>5500000</v>
      </c>
      <c r="T383" s="48"/>
      <c r="U383" s="48"/>
      <c r="V383" s="48"/>
      <c r="W383" s="48"/>
    </row>
    <row r="384" ht="32.9" customHeight="true" spans="1:23">
      <c r="A384" s="18" t="s">
        <v>559</v>
      </c>
      <c r="B384" s="155" t="s">
        <v>743</v>
      </c>
      <c r="C384" s="18" t="s">
        <v>742</v>
      </c>
      <c r="D384" s="18" t="s">
        <v>75</v>
      </c>
      <c r="E384" s="18" t="s">
        <v>128</v>
      </c>
      <c r="F384" s="18" t="s">
        <v>424</v>
      </c>
      <c r="G384" s="18" t="s">
        <v>629</v>
      </c>
      <c r="H384" s="18" t="s">
        <v>630</v>
      </c>
      <c r="I384" s="48">
        <v>31000000</v>
      </c>
      <c r="J384" s="48"/>
      <c r="K384" s="48"/>
      <c r="L384" s="48"/>
      <c r="M384" s="48"/>
      <c r="N384" s="48"/>
      <c r="O384" s="48"/>
      <c r="P384" s="48"/>
      <c r="Q384" s="48"/>
      <c r="R384" s="48">
        <v>31000000</v>
      </c>
      <c r="S384" s="48">
        <v>31000000</v>
      </c>
      <c r="T384" s="48"/>
      <c r="U384" s="48"/>
      <c r="V384" s="48"/>
      <c r="W384" s="48"/>
    </row>
    <row r="385" ht="32.9" customHeight="true" spans="1:23">
      <c r="A385" s="18" t="s">
        <v>559</v>
      </c>
      <c r="B385" s="155" t="s">
        <v>743</v>
      </c>
      <c r="C385" s="18" t="s">
        <v>742</v>
      </c>
      <c r="D385" s="18" t="s">
        <v>75</v>
      </c>
      <c r="E385" s="18" t="s">
        <v>128</v>
      </c>
      <c r="F385" s="18" t="s">
        <v>424</v>
      </c>
      <c r="G385" s="18" t="s">
        <v>631</v>
      </c>
      <c r="H385" s="18" t="s">
        <v>632</v>
      </c>
      <c r="I385" s="48">
        <v>9507592</v>
      </c>
      <c r="J385" s="48"/>
      <c r="K385" s="48"/>
      <c r="L385" s="48"/>
      <c r="M385" s="48"/>
      <c r="N385" s="48"/>
      <c r="O385" s="48"/>
      <c r="P385" s="48"/>
      <c r="Q385" s="48"/>
      <c r="R385" s="48">
        <v>9507592</v>
      </c>
      <c r="S385" s="48">
        <v>9507592</v>
      </c>
      <c r="T385" s="48"/>
      <c r="U385" s="48"/>
      <c r="V385" s="48"/>
      <c r="W385" s="48"/>
    </row>
    <row r="386" ht="32.9" customHeight="true" spans="1:23">
      <c r="A386" s="18" t="s">
        <v>559</v>
      </c>
      <c r="B386" s="155" t="s">
        <v>743</v>
      </c>
      <c r="C386" s="18" t="s">
        <v>742</v>
      </c>
      <c r="D386" s="18" t="s">
        <v>75</v>
      </c>
      <c r="E386" s="18" t="s">
        <v>128</v>
      </c>
      <c r="F386" s="18" t="s">
        <v>424</v>
      </c>
      <c r="G386" s="18" t="s">
        <v>748</v>
      </c>
      <c r="H386" s="18" t="s">
        <v>191</v>
      </c>
      <c r="I386" s="48">
        <v>250000</v>
      </c>
      <c r="J386" s="48"/>
      <c r="K386" s="48"/>
      <c r="L386" s="48"/>
      <c r="M386" s="48"/>
      <c r="N386" s="48"/>
      <c r="O386" s="48"/>
      <c r="P386" s="48"/>
      <c r="Q386" s="48"/>
      <c r="R386" s="48">
        <v>250000</v>
      </c>
      <c r="S386" s="48">
        <v>250000</v>
      </c>
      <c r="T386" s="48"/>
      <c r="U386" s="48"/>
      <c r="V386" s="48"/>
      <c r="W386" s="48"/>
    </row>
    <row r="387" ht="32.9" customHeight="true" spans="1:23">
      <c r="A387" s="18" t="s">
        <v>559</v>
      </c>
      <c r="B387" s="155" t="s">
        <v>743</v>
      </c>
      <c r="C387" s="18" t="s">
        <v>742</v>
      </c>
      <c r="D387" s="18" t="s">
        <v>75</v>
      </c>
      <c r="E387" s="18" t="s">
        <v>128</v>
      </c>
      <c r="F387" s="18" t="s">
        <v>424</v>
      </c>
      <c r="G387" s="18" t="s">
        <v>749</v>
      </c>
      <c r="H387" s="18" t="s">
        <v>750</v>
      </c>
      <c r="I387" s="48">
        <v>1911600</v>
      </c>
      <c r="J387" s="48"/>
      <c r="K387" s="48"/>
      <c r="L387" s="48"/>
      <c r="M387" s="48"/>
      <c r="N387" s="48"/>
      <c r="O387" s="48"/>
      <c r="P387" s="48"/>
      <c r="Q387" s="48"/>
      <c r="R387" s="48">
        <v>1911600</v>
      </c>
      <c r="S387" s="48">
        <v>1911600</v>
      </c>
      <c r="T387" s="48"/>
      <c r="U387" s="48"/>
      <c r="V387" s="48"/>
      <c r="W387" s="48"/>
    </row>
    <row r="388" ht="32.9" customHeight="true" spans="1:23">
      <c r="A388" s="18" t="s">
        <v>559</v>
      </c>
      <c r="B388" s="155" t="s">
        <v>743</v>
      </c>
      <c r="C388" s="18" t="s">
        <v>742</v>
      </c>
      <c r="D388" s="18" t="s">
        <v>75</v>
      </c>
      <c r="E388" s="18" t="s">
        <v>128</v>
      </c>
      <c r="F388" s="18" t="s">
        <v>424</v>
      </c>
      <c r="G388" s="18" t="s">
        <v>546</v>
      </c>
      <c r="H388" s="18" t="s">
        <v>98</v>
      </c>
      <c r="I388" s="48">
        <v>26357300</v>
      </c>
      <c r="J388" s="48"/>
      <c r="K388" s="48"/>
      <c r="L388" s="48"/>
      <c r="M388" s="48"/>
      <c r="N388" s="48"/>
      <c r="O388" s="48"/>
      <c r="P388" s="48"/>
      <c r="Q388" s="48"/>
      <c r="R388" s="48">
        <v>26357300</v>
      </c>
      <c r="S388" s="48">
        <v>26357300</v>
      </c>
      <c r="T388" s="48"/>
      <c r="U388" s="48"/>
      <c r="V388" s="48"/>
      <c r="W388" s="48"/>
    </row>
    <row r="389" ht="32.9" customHeight="true" spans="1:23">
      <c r="A389" s="18" t="s">
        <v>559</v>
      </c>
      <c r="B389" s="155" t="s">
        <v>743</v>
      </c>
      <c r="C389" s="18" t="s">
        <v>742</v>
      </c>
      <c r="D389" s="18" t="s">
        <v>75</v>
      </c>
      <c r="E389" s="18" t="s">
        <v>170</v>
      </c>
      <c r="F389" s="18" t="s">
        <v>751</v>
      </c>
      <c r="G389" s="18" t="s">
        <v>752</v>
      </c>
      <c r="H389" s="18" t="s">
        <v>753</v>
      </c>
      <c r="I389" s="48">
        <v>8120500</v>
      </c>
      <c r="J389" s="48"/>
      <c r="K389" s="48"/>
      <c r="L389" s="48"/>
      <c r="M389" s="48"/>
      <c r="N389" s="48"/>
      <c r="O389" s="48"/>
      <c r="P389" s="48"/>
      <c r="Q389" s="48"/>
      <c r="R389" s="48">
        <v>8120500</v>
      </c>
      <c r="S389" s="48">
        <v>8120500</v>
      </c>
      <c r="T389" s="48"/>
      <c r="U389" s="48"/>
      <c r="V389" s="48"/>
      <c r="W389" s="48"/>
    </row>
    <row r="390" ht="32.9" customHeight="true" spans="1:23">
      <c r="A390" s="18"/>
      <c r="B390" s="18"/>
      <c r="C390" s="18" t="s">
        <v>754</v>
      </c>
      <c r="D390" s="18"/>
      <c r="E390" s="18"/>
      <c r="F390" s="18"/>
      <c r="G390" s="18"/>
      <c r="H390" s="18"/>
      <c r="I390" s="48">
        <v>52490.4</v>
      </c>
      <c r="J390" s="48"/>
      <c r="K390" s="48"/>
      <c r="L390" s="48"/>
      <c r="M390" s="48"/>
      <c r="N390" s="48">
        <v>52490.4</v>
      </c>
      <c r="O390" s="48"/>
      <c r="P390" s="48"/>
      <c r="Q390" s="48"/>
      <c r="R390" s="48"/>
      <c r="S390" s="48"/>
      <c r="T390" s="48"/>
      <c r="U390" s="48"/>
      <c r="V390" s="48"/>
      <c r="W390" s="48"/>
    </row>
    <row r="391" ht="32.9" customHeight="true" spans="1:23">
      <c r="A391" s="18" t="s">
        <v>567</v>
      </c>
      <c r="B391" s="155" t="s">
        <v>755</v>
      </c>
      <c r="C391" s="18" t="s">
        <v>754</v>
      </c>
      <c r="D391" s="18" t="s">
        <v>75</v>
      </c>
      <c r="E391" s="18" t="s">
        <v>154</v>
      </c>
      <c r="F391" s="18" t="s">
        <v>569</v>
      </c>
      <c r="G391" s="18" t="s">
        <v>283</v>
      </c>
      <c r="H391" s="18" t="s">
        <v>284</v>
      </c>
      <c r="I391" s="48">
        <v>1790.4</v>
      </c>
      <c r="J391" s="48"/>
      <c r="K391" s="48"/>
      <c r="L391" s="48"/>
      <c r="M391" s="48"/>
      <c r="N391" s="48">
        <v>1790.4</v>
      </c>
      <c r="O391" s="48"/>
      <c r="P391" s="48"/>
      <c r="Q391" s="48"/>
      <c r="R391" s="48"/>
      <c r="S391" s="48"/>
      <c r="T391" s="48"/>
      <c r="U391" s="48"/>
      <c r="V391" s="48"/>
      <c r="W391" s="48"/>
    </row>
    <row r="392" ht="32.9" customHeight="true" spans="1:23">
      <c r="A392" s="18" t="s">
        <v>567</v>
      </c>
      <c r="B392" s="155" t="s">
        <v>755</v>
      </c>
      <c r="C392" s="18" t="s">
        <v>754</v>
      </c>
      <c r="D392" s="18" t="s">
        <v>75</v>
      </c>
      <c r="E392" s="18" t="s">
        <v>154</v>
      </c>
      <c r="F392" s="18" t="s">
        <v>569</v>
      </c>
      <c r="G392" s="18" t="s">
        <v>629</v>
      </c>
      <c r="H392" s="18" t="s">
        <v>630</v>
      </c>
      <c r="I392" s="48">
        <v>50700</v>
      </c>
      <c r="J392" s="48"/>
      <c r="K392" s="48"/>
      <c r="L392" s="48"/>
      <c r="M392" s="48"/>
      <c r="N392" s="48">
        <v>50700</v>
      </c>
      <c r="O392" s="48"/>
      <c r="P392" s="48"/>
      <c r="Q392" s="48"/>
      <c r="R392" s="48"/>
      <c r="S392" s="48"/>
      <c r="T392" s="48"/>
      <c r="U392" s="48"/>
      <c r="V392" s="48"/>
      <c r="W392" s="48"/>
    </row>
    <row r="393" ht="32.9" customHeight="true" spans="1:23">
      <c r="A393" s="18"/>
      <c r="B393" s="18"/>
      <c r="C393" s="18" t="s">
        <v>756</v>
      </c>
      <c r="D393" s="18"/>
      <c r="E393" s="18"/>
      <c r="F393" s="18"/>
      <c r="G393" s="18"/>
      <c r="H393" s="18"/>
      <c r="I393" s="48">
        <v>172665</v>
      </c>
      <c r="J393" s="48"/>
      <c r="K393" s="48"/>
      <c r="L393" s="48"/>
      <c r="M393" s="48"/>
      <c r="N393" s="48">
        <v>172665</v>
      </c>
      <c r="O393" s="48"/>
      <c r="P393" s="48"/>
      <c r="Q393" s="48"/>
      <c r="R393" s="48"/>
      <c r="S393" s="48"/>
      <c r="T393" s="48"/>
      <c r="U393" s="48"/>
      <c r="V393" s="48"/>
      <c r="W393" s="48"/>
    </row>
    <row r="394" ht="32.9" customHeight="true" spans="1:23">
      <c r="A394" s="18" t="s">
        <v>538</v>
      </c>
      <c r="B394" s="155" t="s">
        <v>757</v>
      </c>
      <c r="C394" s="18" t="s">
        <v>756</v>
      </c>
      <c r="D394" s="18" t="s">
        <v>75</v>
      </c>
      <c r="E394" s="18" t="s">
        <v>142</v>
      </c>
      <c r="F394" s="18" t="s">
        <v>549</v>
      </c>
      <c r="G394" s="18" t="s">
        <v>254</v>
      </c>
      <c r="H394" s="18" t="s">
        <v>255</v>
      </c>
      <c r="I394" s="48">
        <v>172665</v>
      </c>
      <c r="J394" s="48"/>
      <c r="K394" s="48"/>
      <c r="L394" s="48"/>
      <c r="M394" s="48"/>
      <c r="N394" s="48">
        <v>172665</v>
      </c>
      <c r="O394" s="48"/>
      <c r="P394" s="48"/>
      <c r="Q394" s="48"/>
      <c r="R394" s="48"/>
      <c r="S394" s="48"/>
      <c r="T394" s="48"/>
      <c r="U394" s="48"/>
      <c r="V394" s="48"/>
      <c r="W394" s="48"/>
    </row>
    <row r="395" ht="32.9" customHeight="true" spans="1:23">
      <c r="A395" s="18"/>
      <c r="B395" s="18"/>
      <c r="C395" s="18" t="s">
        <v>758</v>
      </c>
      <c r="D395" s="18"/>
      <c r="E395" s="18"/>
      <c r="F395" s="18"/>
      <c r="G395" s="18"/>
      <c r="H395" s="18"/>
      <c r="I395" s="48">
        <v>5800</v>
      </c>
      <c r="J395" s="48"/>
      <c r="K395" s="48"/>
      <c r="L395" s="48"/>
      <c r="M395" s="48"/>
      <c r="N395" s="48">
        <v>5800</v>
      </c>
      <c r="O395" s="48"/>
      <c r="P395" s="48"/>
      <c r="Q395" s="48"/>
      <c r="R395" s="48"/>
      <c r="S395" s="48"/>
      <c r="T395" s="48"/>
      <c r="U395" s="48"/>
      <c r="V395" s="48"/>
      <c r="W395" s="48"/>
    </row>
    <row r="396" ht="32.9" customHeight="true" spans="1:23">
      <c r="A396" s="18" t="s">
        <v>538</v>
      </c>
      <c r="B396" s="155" t="s">
        <v>759</v>
      </c>
      <c r="C396" s="18" t="s">
        <v>758</v>
      </c>
      <c r="D396" s="18" t="s">
        <v>75</v>
      </c>
      <c r="E396" s="18" t="s">
        <v>141</v>
      </c>
      <c r="F396" s="18" t="s">
        <v>555</v>
      </c>
      <c r="G396" s="18" t="s">
        <v>281</v>
      </c>
      <c r="H396" s="18" t="s">
        <v>282</v>
      </c>
      <c r="I396" s="48">
        <v>5800</v>
      </c>
      <c r="J396" s="48"/>
      <c r="K396" s="48"/>
      <c r="L396" s="48"/>
      <c r="M396" s="48"/>
      <c r="N396" s="48">
        <v>5800</v>
      </c>
      <c r="O396" s="48"/>
      <c r="P396" s="48"/>
      <c r="Q396" s="48"/>
      <c r="R396" s="48"/>
      <c r="S396" s="48"/>
      <c r="T396" s="48"/>
      <c r="U396" s="48"/>
      <c r="V396" s="48"/>
      <c r="W396" s="48"/>
    </row>
    <row r="397" ht="32.9" customHeight="true" spans="1:23">
      <c r="A397" s="18"/>
      <c r="B397" s="18"/>
      <c r="C397" s="18" t="s">
        <v>760</v>
      </c>
      <c r="D397" s="18"/>
      <c r="E397" s="18"/>
      <c r="F397" s="18"/>
      <c r="G397" s="18"/>
      <c r="H397" s="18"/>
      <c r="I397" s="48">
        <v>388144.23</v>
      </c>
      <c r="J397" s="48"/>
      <c r="K397" s="48"/>
      <c r="L397" s="48"/>
      <c r="M397" s="48"/>
      <c r="N397" s="48">
        <v>388144.23</v>
      </c>
      <c r="O397" s="48"/>
      <c r="P397" s="48"/>
      <c r="Q397" s="48"/>
      <c r="R397" s="48"/>
      <c r="S397" s="48"/>
      <c r="T397" s="48"/>
      <c r="U397" s="48"/>
      <c r="V397" s="48"/>
      <c r="W397" s="48"/>
    </row>
    <row r="398" ht="32.9" customHeight="true" spans="1:23">
      <c r="A398" s="18" t="s">
        <v>538</v>
      </c>
      <c r="B398" s="155" t="s">
        <v>761</v>
      </c>
      <c r="C398" s="18" t="s">
        <v>760</v>
      </c>
      <c r="D398" s="18" t="s">
        <v>75</v>
      </c>
      <c r="E398" s="18" t="s">
        <v>142</v>
      </c>
      <c r="F398" s="18" t="s">
        <v>549</v>
      </c>
      <c r="G398" s="18" t="s">
        <v>281</v>
      </c>
      <c r="H398" s="18" t="s">
        <v>282</v>
      </c>
      <c r="I398" s="48">
        <v>17884</v>
      </c>
      <c r="J398" s="48"/>
      <c r="K398" s="48"/>
      <c r="L398" s="48"/>
      <c r="M398" s="48"/>
      <c r="N398" s="48">
        <v>17884</v>
      </c>
      <c r="O398" s="48"/>
      <c r="P398" s="48"/>
      <c r="Q398" s="48"/>
      <c r="R398" s="48"/>
      <c r="S398" s="48"/>
      <c r="T398" s="48"/>
      <c r="U398" s="48"/>
      <c r="V398" s="48"/>
      <c r="W398" s="48"/>
    </row>
    <row r="399" ht="32.9" customHeight="true" spans="1:23">
      <c r="A399" s="18" t="s">
        <v>538</v>
      </c>
      <c r="B399" s="155" t="s">
        <v>761</v>
      </c>
      <c r="C399" s="18" t="s">
        <v>760</v>
      </c>
      <c r="D399" s="18" t="s">
        <v>75</v>
      </c>
      <c r="E399" s="18" t="s">
        <v>142</v>
      </c>
      <c r="F399" s="18" t="s">
        <v>549</v>
      </c>
      <c r="G399" s="18" t="s">
        <v>625</v>
      </c>
      <c r="H399" s="18" t="s">
        <v>626</v>
      </c>
      <c r="I399" s="48">
        <v>129828.93</v>
      </c>
      <c r="J399" s="48"/>
      <c r="K399" s="48"/>
      <c r="L399" s="48"/>
      <c r="M399" s="48"/>
      <c r="N399" s="48">
        <v>129828.93</v>
      </c>
      <c r="O399" s="48"/>
      <c r="P399" s="48"/>
      <c r="Q399" s="48"/>
      <c r="R399" s="48"/>
      <c r="S399" s="48"/>
      <c r="T399" s="48"/>
      <c r="U399" s="48"/>
      <c r="V399" s="48"/>
      <c r="W399" s="48"/>
    </row>
    <row r="400" ht="32.9" customHeight="true" spans="1:23">
      <c r="A400" s="18" t="s">
        <v>538</v>
      </c>
      <c r="B400" s="155" t="s">
        <v>761</v>
      </c>
      <c r="C400" s="18" t="s">
        <v>760</v>
      </c>
      <c r="D400" s="18" t="s">
        <v>75</v>
      </c>
      <c r="E400" s="18" t="s">
        <v>142</v>
      </c>
      <c r="F400" s="18" t="s">
        <v>549</v>
      </c>
      <c r="G400" s="18" t="s">
        <v>316</v>
      </c>
      <c r="H400" s="18" t="s">
        <v>317</v>
      </c>
      <c r="I400" s="48">
        <v>165300</v>
      </c>
      <c r="J400" s="48"/>
      <c r="K400" s="48"/>
      <c r="L400" s="48"/>
      <c r="M400" s="48"/>
      <c r="N400" s="48">
        <v>165300</v>
      </c>
      <c r="O400" s="48"/>
      <c r="P400" s="48"/>
      <c r="Q400" s="48"/>
      <c r="R400" s="48"/>
      <c r="S400" s="48"/>
      <c r="T400" s="48"/>
      <c r="U400" s="48"/>
      <c r="V400" s="48"/>
      <c r="W400" s="48"/>
    </row>
    <row r="401" ht="32.9" customHeight="true" spans="1:23">
      <c r="A401" s="18" t="s">
        <v>538</v>
      </c>
      <c r="B401" s="155" t="s">
        <v>761</v>
      </c>
      <c r="C401" s="18" t="s">
        <v>760</v>
      </c>
      <c r="D401" s="18" t="s">
        <v>75</v>
      </c>
      <c r="E401" s="18" t="s">
        <v>142</v>
      </c>
      <c r="F401" s="18" t="s">
        <v>549</v>
      </c>
      <c r="G401" s="18" t="s">
        <v>273</v>
      </c>
      <c r="H401" s="18" t="s">
        <v>274</v>
      </c>
      <c r="I401" s="48">
        <v>31913.54</v>
      </c>
      <c r="J401" s="48"/>
      <c r="K401" s="48"/>
      <c r="L401" s="48"/>
      <c r="M401" s="48"/>
      <c r="N401" s="48">
        <v>31913.54</v>
      </c>
      <c r="O401" s="48"/>
      <c r="P401" s="48"/>
      <c r="Q401" s="48"/>
      <c r="R401" s="48"/>
      <c r="S401" s="48"/>
      <c r="T401" s="48"/>
      <c r="U401" s="48"/>
      <c r="V401" s="48"/>
      <c r="W401" s="48"/>
    </row>
    <row r="402" ht="32.9" customHeight="true" spans="1:23">
      <c r="A402" s="18" t="s">
        <v>538</v>
      </c>
      <c r="B402" s="155" t="s">
        <v>761</v>
      </c>
      <c r="C402" s="18" t="s">
        <v>760</v>
      </c>
      <c r="D402" s="18" t="s">
        <v>75</v>
      </c>
      <c r="E402" s="18" t="s">
        <v>142</v>
      </c>
      <c r="F402" s="18" t="s">
        <v>549</v>
      </c>
      <c r="G402" s="18" t="s">
        <v>287</v>
      </c>
      <c r="H402" s="18" t="s">
        <v>288</v>
      </c>
      <c r="I402" s="48">
        <v>22247.76</v>
      </c>
      <c r="J402" s="48"/>
      <c r="K402" s="48"/>
      <c r="L402" s="48"/>
      <c r="M402" s="48"/>
      <c r="N402" s="48">
        <v>22247.76</v>
      </c>
      <c r="O402" s="48"/>
      <c r="P402" s="48"/>
      <c r="Q402" s="48"/>
      <c r="R402" s="48"/>
      <c r="S402" s="48"/>
      <c r="T402" s="48"/>
      <c r="U402" s="48"/>
      <c r="V402" s="48"/>
      <c r="W402" s="48"/>
    </row>
    <row r="403" ht="32.9" customHeight="true" spans="1:23">
      <c r="A403" s="18" t="s">
        <v>538</v>
      </c>
      <c r="B403" s="155" t="s">
        <v>761</v>
      </c>
      <c r="C403" s="18" t="s">
        <v>760</v>
      </c>
      <c r="D403" s="18" t="s">
        <v>75</v>
      </c>
      <c r="E403" s="18" t="s">
        <v>142</v>
      </c>
      <c r="F403" s="18" t="s">
        <v>549</v>
      </c>
      <c r="G403" s="18" t="s">
        <v>629</v>
      </c>
      <c r="H403" s="18" t="s">
        <v>630</v>
      </c>
      <c r="I403" s="48">
        <v>20970</v>
      </c>
      <c r="J403" s="48"/>
      <c r="K403" s="48"/>
      <c r="L403" s="48"/>
      <c r="M403" s="48"/>
      <c r="N403" s="48">
        <v>20970</v>
      </c>
      <c r="O403" s="48"/>
      <c r="P403" s="48"/>
      <c r="Q403" s="48"/>
      <c r="R403" s="48"/>
      <c r="S403" s="48"/>
      <c r="T403" s="48"/>
      <c r="U403" s="48"/>
      <c r="V403" s="48"/>
      <c r="W403" s="48"/>
    </row>
    <row r="404" ht="32.9" customHeight="true" spans="1:23">
      <c r="A404" s="18"/>
      <c r="B404" s="18"/>
      <c r="C404" s="18" t="s">
        <v>762</v>
      </c>
      <c r="D404" s="18"/>
      <c r="E404" s="18"/>
      <c r="F404" s="18"/>
      <c r="G404" s="18"/>
      <c r="H404" s="18"/>
      <c r="I404" s="48">
        <v>2598699.37</v>
      </c>
      <c r="J404" s="48"/>
      <c r="K404" s="48"/>
      <c r="L404" s="48"/>
      <c r="M404" s="48"/>
      <c r="N404" s="48">
        <v>2598699.37</v>
      </c>
      <c r="O404" s="48"/>
      <c r="P404" s="48"/>
      <c r="Q404" s="48"/>
      <c r="R404" s="48"/>
      <c r="S404" s="48"/>
      <c r="T404" s="48"/>
      <c r="U404" s="48"/>
      <c r="V404" s="48"/>
      <c r="W404" s="48"/>
    </row>
    <row r="405" ht="32.9" customHeight="true" spans="1:23">
      <c r="A405" s="18" t="s">
        <v>559</v>
      </c>
      <c r="B405" s="155" t="s">
        <v>763</v>
      </c>
      <c r="C405" s="18" t="s">
        <v>762</v>
      </c>
      <c r="D405" s="18" t="s">
        <v>75</v>
      </c>
      <c r="E405" s="18" t="s">
        <v>126</v>
      </c>
      <c r="F405" s="18" t="s">
        <v>542</v>
      </c>
      <c r="G405" s="18" t="s">
        <v>281</v>
      </c>
      <c r="H405" s="18" t="s">
        <v>282</v>
      </c>
      <c r="I405" s="48">
        <v>916260</v>
      </c>
      <c r="J405" s="48"/>
      <c r="K405" s="48"/>
      <c r="L405" s="48"/>
      <c r="M405" s="48"/>
      <c r="N405" s="48">
        <v>916260</v>
      </c>
      <c r="O405" s="48"/>
      <c r="P405" s="48"/>
      <c r="Q405" s="48"/>
      <c r="R405" s="48"/>
      <c r="S405" s="48"/>
      <c r="T405" s="48"/>
      <c r="U405" s="48"/>
      <c r="V405" s="48"/>
      <c r="W405" s="48"/>
    </row>
    <row r="406" ht="32.9" customHeight="true" spans="1:23">
      <c r="A406" s="18" t="s">
        <v>559</v>
      </c>
      <c r="B406" s="155" t="s">
        <v>763</v>
      </c>
      <c r="C406" s="18" t="s">
        <v>762</v>
      </c>
      <c r="D406" s="18" t="s">
        <v>75</v>
      </c>
      <c r="E406" s="18" t="s">
        <v>126</v>
      </c>
      <c r="F406" s="18" t="s">
        <v>542</v>
      </c>
      <c r="G406" s="18" t="s">
        <v>625</v>
      </c>
      <c r="H406" s="18" t="s">
        <v>626</v>
      </c>
      <c r="I406" s="48">
        <v>30.17</v>
      </c>
      <c r="J406" s="48"/>
      <c r="K406" s="48"/>
      <c r="L406" s="48"/>
      <c r="M406" s="48"/>
      <c r="N406" s="48">
        <v>30.17</v>
      </c>
      <c r="O406" s="48"/>
      <c r="P406" s="48"/>
      <c r="Q406" s="48"/>
      <c r="R406" s="48"/>
      <c r="S406" s="48"/>
      <c r="T406" s="48"/>
      <c r="U406" s="48"/>
      <c r="V406" s="48"/>
      <c r="W406" s="48"/>
    </row>
    <row r="407" ht="32.9" customHeight="true" spans="1:23">
      <c r="A407" s="18" t="s">
        <v>559</v>
      </c>
      <c r="B407" s="155" t="s">
        <v>763</v>
      </c>
      <c r="C407" s="18" t="s">
        <v>762</v>
      </c>
      <c r="D407" s="18" t="s">
        <v>75</v>
      </c>
      <c r="E407" s="18" t="s">
        <v>126</v>
      </c>
      <c r="F407" s="18" t="s">
        <v>542</v>
      </c>
      <c r="G407" s="18" t="s">
        <v>316</v>
      </c>
      <c r="H407" s="18" t="s">
        <v>317</v>
      </c>
      <c r="I407" s="48">
        <v>6101.67</v>
      </c>
      <c r="J407" s="48"/>
      <c r="K407" s="48"/>
      <c r="L407" s="48"/>
      <c r="M407" s="48"/>
      <c r="N407" s="48">
        <v>6101.67</v>
      </c>
      <c r="O407" s="48"/>
      <c r="P407" s="48"/>
      <c r="Q407" s="48"/>
      <c r="R407" s="48"/>
      <c r="S407" s="48"/>
      <c r="T407" s="48"/>
      <c r="U407" s="48"/>
      <c r="V407" s="48"/>
      <c r="W407" s="48"/>
    </row>
    <row r="408" ht="32.9" customHeight="true" spans="1:23">
      <c r="A408" s="18" t="s">
        <v>559</v>
      </c>
      <c r="B408" s="155" t="s">
        <v>763</v>
      </c>
      <c r="C408" s="18" t="s">
        <v>762</v>
      </c>
      <c r="D408" s="18" t="s">
        <v>75</v>
      </c>
      <c r="E408" s="18" t="s">
        <v>126</v>
      </c>
      <c r="F408" s="18" t="s">
        <v>542</v>
      </c>
      <c r="G408" s="18" t="s">
        <v>254</v>
      </c>
      <c r="H408" s="18" t="s">
        <v>255</v>
      </c>
      <c r="I408" s="48">
        <v>242707.53</v>
      </c>
      <c r="J408" s="48"/>
      <c r="K408" s="48"/>
      <c r="L408" s="48"/>
      <c r="M408" s="48"/>
      <c r="N408" s="48">
        <v>242707.53</v>
      </c>
      <c r="O408" s="48"/>
      <c r="P408" s="48"/>
      <c r="Q408" s="48"/>
      <c r="R408" s="48"/>
      <c r="S408" s="48"/>
      <c r="T408" s="48"/>
      <c r="U408" s="48"/>
      <c r="V408" s="48"/>
      <c r="W408" s="48"/>
    </row>
    <row r="409" ht="32.9" customHeight="true" spans="1:23">
      <c r="A409" s="18" t="s">
        <v>559</v>
      </c>
      <c r="B409" s="155" t="s">
        <v>763</v>
      </c>
      <c r="C409" s="18" t="s">
        <v>762</v>
      </c>
      <c r="D409" s="18" t="s">
        <v>75</v>
      </c>
      <c r="E409" s="18" t="s">
        <v>126</v>
      </c>
      <c r="F409" s="18" t="s">
        <v>542</v>
      </c>
      <c r="G409" s="18" t="s">
        <v>764</v>
      </c>
      <c r="H409" s="18" t="s">
        <v>765</v>
      </c>
      <c r="I409" s="48">
        <v>210000</v>
      </c>
      <c r="J409" s="48"/>
      <c r="K409" s="48"/>
      <c r="L409" s="48"/>
      <c r="M409" s="48"/>
      <c r="N409" s="48">
        <v>210000</v>
      </c>
      <c r="O409" s="48"/>
      <c r="P409" s="48"/>
      <c r="Q409" s="48"/>
      <c r="R409" s="48"/>
      <c r="S409" s="48"/>
      <c r="T409" s="48"/>
      <c r="U409" s="48"/>
      <c r="V409" s="48"/>
      <c r="W409" s="48"/>
    </row>
    <row r="410" ht="32.9" customHeight="true" spans="1:23">
      <c r="A410" s="18" t="s">
        <v>559</v>
      </c>
      <c r="B410" s="155" t="s">
        <v>763</v>
      </c>
      <c r="C410" s="18" t="s">
        <v>762</v>
      </c>
      <c r="D410" s="18" t="s">
        <v>75</v>
      </c>
      <c r="E410" s="18" t="s">
        <v>126</v>
      </c>
      <c r="F410" s="18" t="s">
        <v>542</v>
      </c>
      <c r="G410" s="18" t="s">
        <v>629</v>
      </c>
      <c r="H410" s="18" t="s">
        <v>630</v>
      </c>
      <c r="I410" s="48">
        <v>1223600</v>
      </c>
      <c r="J410" s="48"/>
      <c r="K410" s="48"/>
      <c r="L410" s="48"/>
      <c r="M410" s="48"/>
      <c r="N410" s="48">
        <v>1223600</v>
      </c>
      <c r="O410" s="48"/>
      <c r="P410" s="48"/>
      <c r="Q410" s="48"/>
      <c r="R410" s="48"/>
      <c r="S410" s="48"/>
      <c r="T410" s="48"/>
      <c r="U410" s="48"/>
      <c r="V410" s="48"/>
      <c r="W410" s="48"/>
    </row>
    <row r="411" ht="32.9" customHeight="true" spans="1:23">
      <c r="A411" s="18"/>
      <c r="B411" s="18"/>
      <c r="C411" s="18" t="s">
        <v>766</v>
      </c>
      <c r="D411" s="18"/>
      <c r="E411" s="18"/>
      <c r="F411" s="18"/>
      <c r="G411" s="18"/>
      <c r="H411" s="18"/>
      <c r="I411" s="48">
        <v>3030962.14</v>
      </c>
      <c r="J411" s="48"/>
      <c r="K411" s="48"/>
      <c r="L411" s="48"/>
      <c r="M411" s="48"/>
      <c r="N411" s="48">
        <v>3030962.14</v>
      </c>
      <c r="O411" s="48"/>
      <c r="P411" s="48"/>
      <c r="Q411" s="48"/>
      <c r="R411" s="48"/>
      <c r="S411" s="48"/>
      <c r="T411" s="48"/>
      <c r="U411" s="48"/>
      <c r="V411" s="48"/>
      <c r="W411" s="48"/>
    </row>
    <row r="412" ht="32.9" customHeight="true" spans="1:23">
      <c r="A412" s="18" t="s">
        <v>559</v>
      </c>
      <c r="B412" s="155" t="s">
        <v>767</v>
      </c>
      <c r="C412" s="18" t="s">
        <v>766</v>
      </c>
      <c r="D412" s="18" t="s">
        <v>75</v>
      </c>
      <c r="E412" s="18" t="s">
        <v>126</v>
      </c>
      <c r="F412" s="18" t="s">
        <v>542</v>
      </c>
      <c r="G412" s="18" t="s">
        <v>281</v>
      </c>
      <c r="H412" s="18" t="s">
        <v>282</v>
      </c>
      <c r="I412" s="48">
        <v>482828.14</v>
      </c>
      <c r="J412" s="48"/>
      <c r="K412" s="48"/>
      <c r="L412" s="48"/>
      <c r="M412" s="48"/>
      <c r="N412" s="48">
        <v>482828.14</v>
      </c>
      <c r="O412" s="48"/>
      <c r="P412" s="48"/>
      <c r="Q412" s="48"/>
      <c r="R412" s="48"/>
      <c r="S412" s="48"/>
      <c r="T412" s="48"/>
      <c r="U412" s="48"/>
      <c r="V412" s="48"/>
      <c r="W412" s="48"/>
    </row>
    <row r="413" ht="32.9" customHeight="true" spans="1:23">
      <c r="A413" s="18" t="s">
        <v>559</v>
      </c>
      <c r="B413" s="155" t="s">
        <v>767</v>
      </c>
      <c r="C413" s="18" t="s">
        <v>766</v>
      </c>
      <c r="D413" s="18" t="s">
        <v>75</v>
      </c>
      <c r="E413" s="18" t="s">
        <v>126</v>
      </c>
      <c r="F413" s="18" t="s">
        <v>542</v>
      </c>
      <c r="G413" s="18" t="s">
        <v>273</v>
      </c>
      <c r="H413" s="18" t="s">
        <v>274</v>
      </c>
      <c r="I413" s="48">
        <v>240254</v>
      </c>
      <c r="J413" s="48"/>
      <c r="K413" s="48"/>
      <c r="L413" s="48"/>
      <c r="M413" s="48"/>
      <c r="N413" s="48">
        <v>240254</v>
      </c>
      <c r="O413" s="48"/>
      <c r="P413" s="48"/>
      <c r="Q413" s="48"/>
      <c r="R413" s="48"/>
      <c r="S413" s="48"/>
      <c r="T413" s="48"/>
      <c r="U413" s="48"/>
      <c r="V413" s="48"/>
      <c r="W413" s="48"/>
    </row>
    <row r="414" ht="32.9" customHeight="true" spans="1:23">
      <c r="A414" s="18" t="s">
        <v>559</v>
      </c>
      <c r="B414" s="155" t="s">
        <v>767</v>
      </c>
      <c r="C414" s="18" t="s">
        <v>766</v>
      </c>
      <c r="D414" s="18" t="s">
        <v>75</v>
      </c>
      <c r="E414" s="18" t="s">
        <v>126</v>
      </c>
      <c r="F414" s="18" t="s">
        <v>542</v>
      </c>
      <c r="G414" s="18" t="s">
        <v>764</v>
      </c>
      <c r="H414" s="18" t="s">
        <v>765</v>
      </c>
      <c r="I414" s="48">
        <v>41300</v>
      </c>
      <c r="J414" s="48"/>
      <c r="K414" s="48"/>
      <c r="L414" s="48"/>
      <c r="M414" s="48"/>
      <c r="N414" s="48">
        <v>41300</v>
      </c>
      <c r="O414" s="48"/>
      <c r="P414" s="48"/>
      <c r="Q414" s="48"/>
      <c r="R414" s="48"/>
      <c r="S414" s="48"/>
      <c r="T414" s="48"/>
      <c r="U414" s="48"/>
      <c r="V414" s="48"/>
      <c r="W414" s="48"/>
    </row>
    <row r="415" ht="32.9" customHeight="true" spans="1:23">
      <c r="A415" s="18" t="s">
        <v>559</v>
      </c>
      <c r="B415" s="155" t="s">
        <v>767</v>
      </c>
      <c r="C415" s="18" t="s">
        <v>766</v>
      </c>
      <c r="D415" s="18" t="s">
        <v>75</v>
      </c>
      <c r="E415" s="18" t="s">
        <v>126</v>
      </c>
      <c r="F415" s="18" t="s">
        <v>542</v>
      </c>
      <c r="G415" s="18" t="s">
        <v>629</v>
      </c>
      <c r="H415" s="18" t="s">
        <v>630</v>
      </c>
      <c r="I415" s="48">
        <v>1013400</v>
      </c>
      <c r="J415" s="48"/>
      <c r="K415" s="48"/>
      <c r="L415" s="48"/>
      <c r="M415" s="48"/>
      <c r="N415" s="48">
        <v>1013400</v>
      </c>
      <c r="O415" s="48"/>
      <c r="P415" s="48"/>
      <c r="Q415" s="48"/>
      <c r="R415" s="48"/>
      <c r="S415" s="48"/>
      <c r="T415" s="48"/>
      <c r="U415" s="48"/>
      <c r="V415" s="48"/>
      <c r="W415" s="48"/>
    </row>
    <row r="416" ht="32.9" customHeight="true" spans="1:23">
      <c r="A416" s="18" t="s">
        <v>559</v>
      </c>
      <c r="B416" s="155" t="s">
        <v>767</v>
      </c>
      <c r="C416" s="18" t="s">
        <v>766</v>
      </c>
      <c r="D416" s="18" t="s">
        <v>75</v>
      </c>
      <c r="E416" s="18" t="s">
        <v>132</v>
      </c>
      <c r="F416" s="18" t="s">
        <v>481</v>
      </c>
      <c r="G416" s="18" t="s">
        <v>281</v>
      </c>
      <c r="H416" s="18" t="s">
        <v>282</v>
      </c>
      <c r="I416" s="48">
        <v>929010</v>
      </c>
      <c r="J416" s="48"/>
      <c r="K416" s="48"/>
      <c r="L416" s="48"/>
      <c r="M416" s="48"/>
      <c r="N416" s="48">
        <v>929010</v>
      </c>
      <c r="O416" s="48"/>
      <c r="P416" s="48"/>
      <c r="Q416" s="48"/>
      <c r="R416" s="48"/>
      <c r="S416" s="48"/>
      <c r="T416" s="48"/>
      <c r="U416" s="48"/>
      <c r="V416" s="48"/>
      <c r="W416" s="48"/>
    </row>
    <row r="417" ht="32.9" customHeight="true" spans="1:23">
      <c r="A417" s="18" t="s">
        <v>559</v>
      </c>
      <c r="B417" s="155" t="s">
        <v>767</v>
      </c>
      <c r="C417" s="18" t="s">
        <v>766</v>
      </c>
      <c r="D417" s="18" t="s">
        <v>75</v>
      </c>
      <c r="E417" s="18" t="s">
        <v>132</v>
      </c>
      <c r="F417" s="18" t="s">
        <v>481</v>
      </c>
      <c r="G417" s="18" t="s">
        <v>316</v>
      </c>
      <c r="H417" s="18" t="s">
        <v>317</v>
      </c>
      <c r="I417" s="48">
        <v>172570</v>
      </c>
      <c r="J417" s="48"/>
      <c r="K417" s="48"/>
      <c r="L417" s="48"/>
      <c r="M417" s="48"/>
      <c r="N417" s="48">
        <v>172570</v>
      </c>
      <c r="O417" s="48"/>
      <c r="P417" s="48"/>
      <c r="Q417" s="48"/>
      <c r="R417" s="48"/>
      <c r="S417" s="48"/>
      <c r="T417" s="48"/>
      <c r="U417" s="48"/>
      <c r="V417" s="48"/>
      <c r="W417" s="48"/>
    </row>
    <row r="418" ht="32.9" customHeight="true" spans="1:23">
      <c r="A418" s="18" t="s">
        <v>559</v>
      </c>
      <c r="B418" s="155" t="s">
        <v>767</v>
      </c>
      <c r="C418" s="18" t="s">
        <v>766</v>
      </c>
      <c r="D418" s="18" t="s">
        <v>75</v>
      </c>
      <c r="E418" s="18" t="s">
        <v>132</v>
      </c>
      <c r="F418" s="18" t="s">
        <v>481</v>
      </c>
      <c r="G418" s="18" t="s">
        <v>764</v>
      </c>
      <c r="H418" s="18" t="s">
        <v>765</v>
      </c>
      <c r="I418" s="48">
        <v>151600</v>
      </c>
      <c r="J418" s="48"/>
      <c r="K418" s="48"/>
      <c r="L418" s="48"/>
      <c r="M418" s="48"/>
      <c r="N418" s="48">
        <v>151600</v>
      </c>
      <c r="O418" s="48"/>
      <c r="P418" s="48"/>
      <c r="Q418" s="48"/>
      <c r="R418" s="48"/>
      <c r="S418" s="48"/>
      <c r="T418" s="48"/>
      <c r="U418" s="48"/>
      <c r="V418" s="48"/>
      <c r="W418" s="48"/>
    </row>
    <row r="419" ht="32.9" customHeight="true" spans="1:23">
      <c r="A419" s="18"/>
      <c r="B419" s="18"/>
      <c r="C419" s="18" t="s">
        <v>768</v>
      </c>
      <c r="D419" s="18"/>
      <c r="E419" s="18"/>
      <c r="F419" s="18"/>
      <c r="G419" s="18"/>
      <c r="H419" s="18"/>
      <c r="I419" s="48">
        <v>10000000</v>
      </c>
      <c r="J419" s="48"/>
      <c r="K419" s="48"/>
      <c r="L419" s="48"/>
      <c r="M419" s="48"/>
      <c r="N419" s="48">
        <v>10000000</v>
      </c>
      <c r="O419" s="48"/>
      <c r="P419" s="48"/>
      <c r="Q419" s="48"/>
      <c r="R419" s="48"/>
      <c r="S419" s="48"/>
      <c r="T419" s="48"/>
      <c r="U419" s="48"/>
      <c r="V419" s="48"/>
      <c r="W419" s="48"/>
    </row>
    <row r="420" ht="39" customHeight="true" spans="1:23">
      <c r="A420" s="18" t="s">
        <v>559</v>
      </c>
      <c r="B420" s="155" t="s">
        <v>769</v>
      </c>
      <c r="C420" s="18" t="s">
        <v>768</v>
      </c>
      <c r="D420" s="18" t="s">
        <v>75</v>
      </c>
      <c r="E420" s="18" t="s">
        <v>132</v>
      </c>
      <c r="F420" s="18" t="s">
        <v>481</v>
      </c>
      <c r="G420" s="18" t="s">
        <v>287</v>
      </c>
      <c r="H420" s="18" t="s">
        <v>288</v>
      </c>
      <c r="I420" s="48">
        <v>10000000</v>
      </c>
      <c r="J420" s="48"/>
      <c r="K420" s="48"/>
      <c r="L420" s="48"/>
      <c r="M420" s="48"/>
      <c r="N420" s="48">
        <v>10000000</v>
      </c>
      <c r="O420" s="48"/>
      <c r="P420" s="48"/>
      <c r="Q420" s="48"/>
      <c r="R420" s="48"/>
      <c r="S420" s="48"/>
      <c r="T420" s="48"/>
      <c r="U420" s="48"/>
      <c r="V420" s="48"/>
      <c r="W420" s="48"/>
    </row>
    <row r="421" ht="32.9" customHeight="true" spans="1:23">
      <c r="A421" s="18"/>
      <c r="B421" s="18"/>
      <c r="C421" s="18" t="s">
        <v>770</v>
      </c>
      <c r="D421" s="18"/>
      <c r="E421" s="18"/>
      <c r="F421" s="18"/>
      <c r="G421" s="18"/>
      <c r="H421" s="18"/>
      <c r="I421" s="48">
        <v>251573.63</v>
      </c>
      <c r="J421" s="48"/>
      <c r="K421" s="48"/>
      <c r="L421" s="48"/>
      <c r="M421" s="48"/>
      <c r="N421" s="48">
        <v>251573.63</v>
      </c>
      <c r="O421" s="48"/>
      <c r="P421" s="48"/>
      <c r="Q421" s="48"/>
      <c r="R421" s="48"/>
      <c r="S421" s="48"/>
      <c r="T421" s="48"/>
      <c r="U421" s="48"/>
      <c r="V421" s="48"/>
      <c r="W421" s="48"/>
    </row>
    <row r="422" ht="32.9" customHeight="true" spans="1:23">
      <c r="A422" s="18" t="s">
        <v>559</v>
      </c>
      <c r="B422" s="155" t="s">
        <v>771</v>
      </c>
      <c r="C422" s="18" t="s">
        <v>770</v>
      </c>
      <c r="D422" s="18" t="s">
        <v>75</v>
      </c>
      <c r="E422" s="18" t="s">
        <v>154</v>
      </c>
      <c r="F422" s="18" t="s">
        <v>569</v>
      </c>
      <c r="G422" s="18" t="s">
        <v>625</v>
      </c>
      <c r="H422" s="18" t="s">
        <v>626</v>
      </c>
      <c r="I422" s="48">
        <v>70000</v>
      </c>
      <c r="J422" s="48"/>
      <c r="K422" s="48"/>
      <c r="L422" s="48"/>
      <c r="M422" s="48"/>
      <c r="N422" s="48">
        <v>70000</v>
      </c>
      <c r="O422" s="48"/>
      <c r="P422" s="48"/>
      <c r="Q422" s="48"/>
      <c r="R422" s="48"/>
      <c r="S422" s="48"/>
      <c r="T422" s="48"/>
      <c r="U422" s="48"/>
      <c r="V422" s="48"/>
      <c r="W422" s="48"/>
    </row>
    <row r="423" ht="32.9" customHeight="true" spans="1:23">
      <c r="A423" s="18" t="s">
        <v>559</v>
      </c>
      <c r="B423" s="155" t="s">
        <v>771</v>
      </c>
      <c r="C423" s="18" t="s">
        <v>770</v>
      </c>
      <c r="D423" s="18" t="s">
        <v>75</v>
      </c>
      <c r="E423" s="18" t="s">
        <v>154</v>
      </c>
      <c r="F423" s="18" t="s">
        <v>569</v>
      </c>
      <c r="G423" s="18" t="s">
        <v>316</v>
      </c>
      <c r="H423" s="18" t="s">
        <v>317</v>
      </c>
      <c r="I423" s="48">
        <v>5000</v>
      </c>
      <c r="J423" s="48"/>
      <c r="K423" s="48"/>
      <c r="L423" s="48"/>
      <c r="M423" s="48"/>
      <c r="N423" s="48">
        <v>5000</v>
      </c>
      <c r="O423" s="48"/>
      <c r="P423" s="48"/>
      <c r="Q423" s="48"/>
      <c r="R423" s="48"/>
      <c r="S423" s="48"/>
      <c r="T423" s="48"/>
      <c r="U423" s="48"/>
      <c r="V423" s="48"/>
      <c r="W423" s="48"/>
    </row>
    <row r="424" ht="32.9" customHeight="true" spans="1:23">
      <c r="A424" s="18" t="s">
        <v>559</v>
      </c>
      <c r="B424" s="155" t="s">
        <v>771</v>
      </c>
      <c r="C424" s="18" t="s">
        <v>770</v>
      </c>
      <c r="D424" s="18" t="s">
        <v>75</v>
      </c>
      <c r="E424" s="18" t="s">
        <v>154</v>
      </c>
      <c r="F424" s="18" t="s">
        <v>569</v>
      </c>
      <c r="G424" s="18" t="s">
        <v>283</v>
      </c>
      <c r="H424" s="18" t="s">
        <v>284</v>
      </c>
      <c r="I424" s="48">
        <v>172000</v>
      </c>
      <c r="J424" s="48"/>
      <c r="K424" s="48"/>
      <c r="L424" s="48"/>
      <c r="M424" s="48"/>
      <c r="N424" s="48">
        <v>172000</v>
      </c>
      <c r="O424" s="48"/>
      <c r="P424" s="48"/>
      <c r="Q424" s="48"/>
      <c r="R424" s="48"/>
      <c r="S424" s="48"/>
      <c r="T424" s="48"/>
      <c r="U424" s="48"/>
      <c r="V424" s="48"/>
      <c r="W424" s="48"/>
    </row>
    <row r="425" ht="32.9" customHeight="true" spans="1:23">
      <c r="A425" s="18" t="s">
        <v>559</v>
      </c>
      <c r="B425" s="155" t="s">
        <v>771</v>
      </c>
      <c r="C425" s="18" t="s">
        <v>770</v>
      </c>
      <c r="D425" s="18" t="s">
        <v>75</v>
      </c>
      <c r="E425" s="18" t="s">
        <v>154</v>
      </c>
      <c r="F425" s="18" t="s">
        <v>569</v>
      </c>
      <c r="G425" s="18" t="s">
        <v>273</v>
      </c>
      <c r="H425" s="18" t="s">
        <v>274</v>
      </c>
      <c r="I425" s="48">
        <v>4573.63</v>
      </c>
      <c r="J425" s="48"/>
      <c r="K425" s="48"/>
      <c r="L425" s="48"/>
      <c r="M425" s="48"/>
      <c r="N425" s="48">
        <v>4573.63</v>
      </c>
      <c r="O425" s="48"/>
      <c r="P425" s="48"/>
      <c r="Q425" s="48"/>
      <c r="R425" s="48"/>
      <c r="S425" s="48"/>
      <c r="T425" s="48"/>
      <c r="U425" s="48"/>
      <c r="V425" s="48"/>
      <c r="W425" s="48"/>
    </row>
    <row r="426" ht="32.9" customHeight="true" spans="1:23">
      <c r="A426" s="18"/>
      <c r="B426" s="18"/>
      <c r="C426" s="18" t="s">
        <v>772</v>
      </c>
      <c r="D426" s="18"/>
      <c r="E426" s="18"/>
      <c r="F426" s="18"/>
      <c r="G426" s="18"/>
      <c r="H426" s="18"/>
      <c r="I426" s="48">
        <v>73818</v>
      </c>
      <c r="J426" s="48"/>
      <c r="K426" s="48"/>
      <c r="L426" s="48"/>
      <c r="M426" s="48"/>
      <c r="N426" s="48">
        <v>73818</v>
      </c>
      <c r="O426" s="48"/>
      <c r="P426" s="48"/>
      <c r="Q426" s="48"/>
      <c r="R426" s="48"/>
      <c r="S426" s="48"/>
      <c r="T426" s="48"/>
      <c r="U426" s="48"/>
      <c r="V426" s="48"/>
      <c r="W426" s="48"/>
    </row>
    <row r="427" ht="32.9" customHeight="true" spans="1:23">
      <c r="A427" s="18" t="s">
        <v>559</v>
      </c>
      <c r="B427" s="155" t="s">
        <v>773</v>
      </c>
      <c r="C427" s="18" t="s">
        <v>772</v>
      </c>
      <c r="D427" s="18" t="s">
        <v>75</v>
      </c>
      <c r="E427" s="18" t="s">
        <v>154</v>
      </c>
      <c r="F427" s="18" t="s">
        <v>569</v>
      </c>
      <c r="G427" s="18" t="s">
        <v>254</v>
      </c>
      <c r="H427" s="18" t="s">
        <v>255</v>
      </c>
      <c r="I427" s="48">
        <v>22518</v>
      </c>
      <c r="J427" s="48"/>
      <c r="K427" s="48"/>
      <c r="L427" s="48"/>
      <c r="M427" s="48"/>
      <c r="N427" s="48">
        <v>22518</v>
      </c>
      <c r="O427" s="48"/>
      <c r="P427" s="48"/>
      <c r="Q427" s="48"/>
      <c r="R427" s="48"/>
      <c r="S427" s="48"/>
      <c r="T427" s="48"/>
      <c r="U427" s="48"/>
      <c r="V427" s="48"/>
      <c r="W427" s="48"/>
    </row>
    <row r="428" ht="32.9" customHeight="true" spans="1:23">
      <c r="A428" s="18" t="s">
        <v>559</v>
      </c>
      <c r="B428" s="155" t="s">
        <v>773</v>
      </c>
      <c r="C428" s="18" t="s">
        <v>772</v>
      </c>
      <c r="D428" s="18" t="s">
        <v>75</v>
      </c>
      <c r="E428" s="18" t="s">
        <v>154</v>
      </c>
      <c r="F428" s="18" t="s">
        <v>569</v>
      </c>
      <c r="G428" s="18" t="s">
        <v>629</v>
      </c>
      <c r="H428" s="18" t="s">
        <v>630</v>
      </c>
      <c r="I428" s="48">
        <v>51300</v>
      </c>
      <c r="J428" s="48"/>
      <c r="K428" s="48"/>
      <c r="L428" s="48"/>
      <c r="M428" s="48"/>
      <c r="N428" s="48">
        <v>51300</v>
      </c>
      <c r="O428" s="48"/>
      <c r="P428" s="48"/>
      <c r="Q428" s="48"/>
      <c r="R428" s="48"/>
      <c r="S428" s="48"/>
      <c r="T428" s="48"/>
      <c r="U428" s="48"/>
      <c r="V428" s="48"/>
      <c r="W428" s="48"/>
    </row>
    <row r="429" ht="32.9" customHeight="true" spans="1:23">
      <c r="A429" s="18"/>
      <c r="B429" s="18"/>
      <c r="C429" s="18" t="s">
        <v>774</v>
      </c>
      <c r="D429" s="18"/>
      <c r="E429" s="18"/>
      <c r="F429" s="18"/>
      <c r="G429" s="18"/>
      <c r="H429" s="18"/>
      <c r="I429" s="48">
        <v>3238061.67</v>
      </c>
      <c r="J429" s="48"/>
      <c r="K429" s="48"/>
      <c r="L429" s="48"/>
      <c r="M429" s="48"/>
      <c r="N429" s="48">
        <v>3238061.67</v>
      </c>
      <c r="O429" s="48"/>
      <c r="P429" s="48"/>
      <c r="Q429" s="48"/>
      <c r="R429" s="48"/>
      <c r="S429" s="48"/>
      <c r="T429" s="48"/>
      <c r="U429" s="48"/>
      <c r="V429" s="48"/>
      <c r="W429" s="48"/>
    </row>
    <row r="430" ht="32.9" customHeight="true" spans="1:23">
      <c r="A430" s="18" t="s">
        <v>567</v>
      </c>
      <c r="B430" s="155" t="s">
        <v>775</v>
      </c>
      <c r="C430" s="18" t="s">
        <v>774</v>
      </c>
      <c r="D430" s="18" t="s">
        <v>75</v>
      </c>
      <c r="E430" s="18" t="s">
        <v>154</v>
      </c>
      <c r="F430" s="18" t="s">
        <v>569</v>
      </c>
      <c r="G430" s="18" t="s">
        <v>277</v>
      </c>
      <c r="H430" s="18" t="s">
        <v>278</v>
      </c>
      <c r="I430" s="48">
        <v>17000</v>
      </c>
      <c r="J430" s="48"/>
      <c r="K430" s="48"/>
      <c r="L430" s="48"/>
      <c r="M430" s="48"/>
      <c r="N430" s="48">
        <v>17000</v>
      </c>
      <c r="O430" s="48"/>
      <c r="P430" s="48"/>
      <c r="Q430" s="48"/>
      <c r="R430" s="48"/>
      <c r="S430" s="48"/>
      <c r="T430" s="48"/>
      <c r="U430" s="48"/>
      <c r="V430" s="48"/>
      <c r="W430" s="48"/>
    </row>
    <row r="431" ht="32.9" customHeight="true" spans="1:23">
      <c r="A431" s="18" t="s">
        <v>567</v>
      </c>
      <c r="B431" s="155" t="s">
        <v>775</v>
      </c>
      <c r="C431" s="18" t="s">
        <v>774</v>
      </c>
      <c r="D431" s="18" t="s">
        <v>75</v>
      </c>
      <c r="E431" s="18" t="s">
        <v>154</v>
      </c>
      <c r="F431" s="18" t="s">
        <v>569</v>
      </c>
      <c r="G431" s="18" t="s">
        <v>281</v>
      </c>
      <c r="H431" s="18" t="s">
        <v>282</v>
      </c>
      <c r="I431" s="48">
        <v>3000</v>
      </c>
      <c r="J431" s="48"/>
      <c r="K431" s="48"/>
      <c r="L431" s="48"/>
      <c r="M431" s="48"/>
      <c r="N431" s="48">
        <v>3000</v>
      </c>
      <c r="O431" s="48"/>
      <c r="P431" s="48"/>
      <c r="Q431" s="48"/>
      <c r="R431" s="48"/>
      <c r="S431" s="48"/>
      <c r="T431" s="48"/>
      <c r="U431" s="48"/>
      <c r="V431" s="48"/>
      <c r="W431" s="48"/>
    </row>
    <row r="432" ht="32.9" customHeight="true" spans="1:23">
      <c r="A432" s="18" t="s">
        <v>567</v>
      </c>
      <c r="B432" s="155" t="s">
        <v>775</v>
      </c>
      <c r="C432" s="18" t="s">
        <v>774</v>
      </c>
      <c r="D432" s="18" t="s">
        <v>75</v>
      </c>
      <c r="E432" s="18" t="s">
        <v>154</v>
      </c>
      <c r="F432" s="18" t="s">
        <v>569</v>
      </c>
      <c r="G432" s="18" t="s">
        <v>625</v>
      </c>
      <c r="H432" s="18" t="s">
        <v>626</v>
      </c>
      <c r="I432" s="48">
        <v>2894.19</v>
      </c>
      <c r="J432" s="48"/>
      <c r="K432" s="48"/>
      <c r="L432" s="48"/>
      <c r="M432" s="48"/>
      <c r="N432" s="48">
        <v>2894.19</v>
      </c>
      <c r="O432" s="48"/>
      <c r="P432" s="48"/>
      <c r="Q432" s="48"/>
      <c r="R432" s="48"/>
      <c r="S432" s="48"/>
      <c r="T432" s="48"/>
      <c r="U432" s="48"/>
      <c r="V432" s="48"/>
      <c r="W432" s="48"/>
    </row>
    <row r="433" ht="32.9" customHeight="true" spans="1:23">
      <c r="A433" s="18" t="s">
        <v>567</v>
      </c>
      <c r="B433" s="155" t="s">
        <v>775</v>
      </c>
      <c r="C433" s="18" t="s">
        <v>774</v>
      </c>
      <c r="D433" s="18" t="s">
        <v>75</v>
      </c>
      <c r="E433" s="18" t="s">
        <v>154</v>
      </c>
      <c r="F433" s="18" t="s">
        <v>569</v>
      </c>
      <c r="G433" s="18" t="s">
        <v>316</v>
      </c>
      <c r="H433" s="18" t="s">
        <v>317</v>
      </c>
      <c r="I433" s="48">
        <v>90900</v>
      </c>
      <c r="J433" s="48"/>
      <c r="K433" s="48"/>
      <c r="L433" s="48"/>
      <c r="M433" s="48"/>
      <c r="N433" s="48">
        <v>90900</v>
      </c>
      <c r="O433" s="48"/>
      <c r="P433" s="48"/>
      <c r="Q433" s="48"/>
      <c r="R433" s="48"/>
      <c r="S433" s="48"/>
      <c r="T433" s="48"/>
      <c r="U433" s="48"/>
      <c r="V433" s="48"/>
      <c r="W433" s="48"/>
    </row>
    <row r="434" ht="32.9" customHeight="true" spans="1:23">
      <c r="A434" s="18" t="s">
        <v>567</v>
      </c>
      <c r="B434" s="155" t="s">
        <v>775</v>
      </c>
      <c r="C434" s="18" t="s">
        <v>774</v>
      </c>
      <c r="D434" s="18" t="s">
        <v>75</v>
      </c>
      <c r="E434" s="18" t="s">
        <v>154</v>
      </c>
      <c r="F434" s="18" t="s">
        <v>569</v>
      </c>
      <c r="G434" s="18" t="s">
        <v>254</v>
      </c>
      <c r="H434" s="18" t="s">
        <v>255</v>
      </c>
      <c r="I434" s="48">
        <v>2955567.48</v>
      </c>
      <c r="J434" s="48"/>
      <c r="K434" s="48"/>
      <c r="L434" s="48"/>
      <c r="M434" s="48"/>
      <c r="N434" s="48">
        <v>2955567.48</v>
      </c>
      <c r="O434" s="48"/>
      <c r="P434" s="48"/>
      <c r="Q434" s="48"/>
      <c r="R434" s="48"/>
      <c r="S434" s="48"/>
      <c r="T434" s="48"/>
      <c r="U434" s="48"/>
      <c r="V434" s="48"/>
      <c r="W434" s="48"/>
    </row>
    <row r="435" ht="32.9" customHeight="true" spans="1:23">
      <c r="A435" s="18" t="s">
        <v>567</v>
      </c>
      <c r="B435" s="155" t="s">
        <v>775</v>
      </c>
      <c r="C435" s="18" t="s">
        <v>774</v>
      </c>
      <c r="D435" s="18" t="s">
        <v>75</v>
      </c>
      <c r="E435" s="18" t="s">
        <v>154</v>
      </c>
      <c r="F435" s="18" t="s">
        <v>569</v>
      </c>
      <c r="G435" s="18" t="s">
        <v>287</v>
      </c>
      <c r="H435" s="18" t="s">
        <v>288</v>
      </c>
      <c r="I435" s="48">
        <v>18700</v>
      </c>
      <c r="J435" s="48"/>
      <c r="K435" s="48"/>
      <c r="L435" s="48"/>
      <c r="M435" s="48"/>
      <c r="N435" s="48">
        <v>18700</v>
      </c>
      <c r="O435" s="48"/>
      <c r="P435" s="48"/>
      <c r="Q435" s="48"/>
      <c r="R435" s="48"/>
      <c r="S435" s="48"/>
      <c r="T435" s="48"/>
      <c r="U435" s="48"/>
      <c r="V435" s="48"/>
      <c r="W435" s="48"/>
    </row>
    <row r="436" ht="32.9" customHeight="true" spans="1:23">
      <c r="A436" s="18" t="s">
        <v>567</v>
      </c>
      <c r="B436" s="155" t="s">
        <v>775</v>
      </c>
      <c r="C436" s="18" t="s">
        <v>774</v>
      </c>
      <c r="D436" s="18" t="s">
        <v>75</v>
      </c>
      <c r="E436" s="18" t="s">
        <v>154</v>
      </c>
      <c r="F436" s="18" t="s">
        <v>569</v>
      </c>
      <c r="G436" s="18" t="s">
        <v>629</v>
      </c>
      <c r="H436" s="18" t="s">
        <v>630</v>
      </c>
      <c r="I436" s="48">
        <v>50000</v>
      </c>
      <c r="J436" s="48"/>
      <c r="K436" s="48"/>
      <c r="L436" s="48"/>
      <c r="M436" s="48"/>
      <c r="N436" s="48">
        <v>50000</v>
      </c>
      <c r="O436" s="48"/>
      <c r="P436" s="48"/>
      <c r="Q436" s="48"/>
      <c r="R436" s="48"/>
      <c r="S436" s="48"/>
      <c r="T436" s="48"/>
      <c r="U436" s="48"/>
      <c r="V436" s="48"/>
      <c r="W436" s="48"/>
    </row>
    <row r="437" ht="32.9" customHeight="true" spans="1:23">
      <c r="A437" s="18" t="s">
        <v>567</v>
      </c>
      <c r="B437" s="155" t="s">
        <v>775</v>
      </c>
      <c r="C437" s="18" t="s">
        <v>774</v>
      </c>
      <c r="D437" s="18" t="s">
        <v>75</v>
      </c>
      <c r="E437" s="18" t="s">
        <v>154</v>
      </c>
      <c r="F437" s="18" t="s">
        <v>569</v>
      </c>
      <c r="G437" s="18" t="s">
        <v>631</v>
      </c>
      <c r="H437" s="18" t="s">
        <v>632</v>
      </c>
      <c r="I437" s="48">
        <v>100000</v>
      </c>
      <c r="J437" s="48"/>
      <c r="K437" s="48"/>
      <c r="L437" s="48"/>
      <c r="M437" s="48"/>
      <c r="N437" s="48">
        <v>100000</v>
      </c>
      <c r="O437" s="48"/>
      <c r="P437" s="48"/>
      <c r="Q437" s="48"/>
      <c r="R437" s="48"/>
      <c r="S437" s="48"/>
      <c r="T437" s="48"/>
      <c r="U437" s="48"/>
      <c r="V437" s="48"/>
      <c r="W437" s="48"/>
    </row>
    <row r="438" ht="32.9" customHeight="true" spans="1:23">
      <c r="A438" s="18"/>
      <c r="B438" s="18"/>
      <c r="C438" s="18" t="s">
        <v>776</v>
      </c>
      <c r="D438" s="18"/>
      <c r="E438" s="18"/>
      <c r="F438" s="18"/>
      <c r="G438" s="18"/>
      <c r="H438" s="18"/>
      <c r="I438" s="48">
        <v>539491.91</v>
      </c>
      <c r="J438" s="48"/>
      <c r="K438" s="48"/>
      <c r="L438" s="48"/>
      <c r="M438" s="48"/>
      <c r="N438" s="48">
        <v>539491.91</v>
      </c>
      <c r="O438" s="48"/>
      <c r="P438" s="48"/>
      <c r="Q438" s="48"/>
      <c r="R438" s="48"/>
      <c r="S438" s="48"/>
      <c r="T438" s="48"/>
      <c r="U438" s="48"/>
      <c r="V438" s="48"/>
      <c r="W438" s="48"/>
    </row>
    <row r="439" ht="32.9" customHeight="true" spans="1:23">
      <c r="A439" s="18" t="s">
        <v>559</v>
      </c>
      <c r="B439" s="155" t="s">
        <v>777</v>
      </c>
      <c r="C439" s="18" t="s">
        <v>776</v>
      </c>
      <c r="D439" s="18" t="s">
        <v>75</v>
      </c>
      <c r="E439" s="18" t="s">
        <v>126</v>
      </c>
      <c r="F439" s="18" t="s">
        <v>542</v>
      </c>
      <c r="G439" s="18" t="s">
        <v>281</v>
      </c>
      <c r="H439" s="18" t="s">
        <v>282</v>
      </c>
      <c r="I439" s="48">
        <v>113291.91</v>
      </c>
      <c r="J439" s="48"/>
      <c r="K439" s="48"/>
      <c r="L439" s="48"/>
      <c r="M439" s="48"/>
      <c r="N439" s="48">
        <v>113291.91</v>
      </c>
      <c r="O439" s="48"/>
      <c r="P439" s="48"/>
      <c r="Q439" s="48"/>
      <c r="R439" s="48"/>
      <c r="S439" s="48"/>
      <c r="T439" s="48"/>
      <c r="U439" s="48"/>
      <c r="V439" s="48"/>
      <c r="W439" s="48"/>
    </row>
    <row r="440" ht="32.9" customHeight="true" spans="1:23">
      <c r="A440" s="18" t="s">
        <v>559</v>
      </c>
      <c r="B440" s="155" t="s">
        <v>777</v>
      </c>
      <c r="C440" s="18" t="s">
        <v>776</v>
      </c>
      <c r="D440" s="18" t="s">
        <v>75</v>
      </c>
      <c r="E440" s="18" t="s">
        <v>126</v>
      </c>
      <c r="F440" s="18" t="s">
        <v>542</v>
      </c>
      <c r="G440" s="18" t="s">
        <v>625</v>
      </c>
      <c r="H440" s="18" t="s">
        <v>626</v>
      </c>
      <c r="I440" s="48">
        <v>98000</v>
      </c>
      <c r="J440" s="48"/>
      <c r="K440" s="48"/>
      <c r="L440" s="48"/>
      <c r="M440" s="48"/>
      <c r="N440" s="48">
        <v>98000</v>
      </c>
      <c r="O440" s="48"/>
      <c r="P440" s="48"/>
      <c r="Q440" s="48"/>
      <c r="R440" s="48"/>
      <c r="S440" s="48"/>
      <c r="T440" s="48"/>
      <c r="U440" s="48"/>
      <c r="V440" s="48"/>
      <c r="W440" s="48"/>
    </row>
    <row r="441" ht="32.9" customHeight="true" spans="1:23">
      <c r="A441" s="18" t="s">
        <v>559</v>
      </c>
      <c r="B441" s="155" t="s">
        <v>777</v>
      </c>
      <c r="C441" s="18" t="s">
        <v>776</v>
      </c>
      <c r="D441" s="18" t="s">
        <v>75</v>
      </c>
      <c r="E441" s="18" t="s">
        <v>126</v>
      </c>
      <c r="F441" s="18" t="s">
        <v>542</v>
      </c>
      <c r="G441" s="18" t="s">
        <v>316</v>
      </c>
      <c r="H441" s="18" t="s">
        <v>317</v>
      </c>
      <c r="I441" s="48">
        <v>94200</v>
      </c>
      <c r="J441" s="48"/>
      <c r="K441" s="48"/>
      <c r="L441" s="48"/>
      <c r="M441" s="48"/>
      <c r="N441" s="48">
        <v>94200</v>
      </c>
      <c r="O441" s="48"/>
      <c r="P441" s="48"/>
      <c r="Q441" s="48"/>
      <c r="R441" s="48"/>
      <c r="S441" s="48"/>
      <c r="T441" s="48"/>
      <c r="U441" s="48"/>
      <c r="V441" s="48"/>
      <c r="W441" s="48"/>
    </row>
    <row r="442" ht="32.9" customHeight="true" spans="1:23">
      <c r="A442" s="18" t="s">
        <v>559</v>
      </c>
      <c r="B442" s="155" t="s">
        <v>777</v>
      </c>
      <c r="C442" s="18" t="s">
        <v>776</v>
      </c>
      <c r="D442" s="18" t="s">
        <v>75</v>
      </c>
      <c r="E442" s="18" t="s">
        <v>126</v>
      </c>
      <c r="F442" s="18" t="s">
        <v>542</v>
      </c>
      <c r="G442" s="18" t="s">
        <v>283</v>
      </c>
      <c r="H442" s="18" t="s">
        <v>284</v>
      </c>
      <c r="I442" s="48">
        <v>234000</v>
      </c>
      <c r="J442" s="48"/>
      <c r="K442" s="48"/>
      <c r="L442" s="48"/>
      <c r="M442" s="48"/>
      <c r="N442" s="48">
        <v>234000</v>
      </c>
      <c r="O442" s="48"/>
      <c r="P442" s="48"/>
      <c r="Q442" s="48"/>
      <c r="R442" s="48"/>
      <c r="S442" s="48"/>
      <c r="T442" s="48"/>
      <c r="U442" s="48"/>
      <c r="V442" s="48"/>
      <c r="W442" s="48"/>
    </row>
    <row r="443" ht="32.9" customHeight="true" spans="1:23">
      <c r="A443" s="18"/>
      <c r="B443" s="18"/>
      <c r="C443" s="18" t="s">
        <v>778</v>
      </c>
      <c r="D443" s="18"/>
      <c r="E443" s="18"/>
      <c r="F443" s="18"/>
      <c r="G443" s="18"/>
      <c r="H443" s="18"/>
      <c r="I443" s="48">
        <v>1516933.68</v>
      </c>
      <c r="J443" s="48"/>
      <c r="K443" s="48"/>
      <c r="L443" s="48"/>
      <c r="M443" s="48"/>
      <c r="N443" s="48">
        <v>1516933.68</v>
      </c>
      <c r="O443" s="48"/>
      <c r="P443" s="48"/>
      <c r="Q443" s="48"/>
      <c r="R443" s="48"/>
      <c r="S443" s="48"/>
      <c r="T443" s="48"/>
      <c r="U443" s="48"/>
      <c r="V443" s="48"/>
      <c r="W443" s="48"/>
    </row>
    <row r="444" ht="32.9" customHeight="true" spans="1:23">
      <c r="A444" s="18" t="s">
        <v>567</v>
      </c>
      <c r="B444" s="155" t="s">
        <v>779</v>
      </c>
      <c r="C444" s="18" t="s">
        <v>778</v>
      </c>
      <c r="D444" s="18" t="s">
        <v>75</v>
      </c>
      <c r="E444" s="18" t="s">
        <v>142</v>
      </c>
      <c r="F444" s="18" t="s">
        <v>549</v>
      </c>
      <c r="G444" s="18" t="s">
        <v>312</v>
      </c>
      <c r="H444" s="18" t="s">
        <v>313</v>
      </c>
      <c r="I444" s="48">
        <v>4722</v>
      </c>
      <c r="J444" s="48"/>
      <c r="K444" s="48"/>
      <c r="L444" s="48"/>
      <c r="M444" s="48"/>
      <c r="N444" s="48">
        <v>4722</v>
      </c>
      <c r="O444" s="48"/>
      <c r="P444" s="48"/>
      <c r="Q444" s="48"/>
      <c r="R444" s="48"/>
      <c r="S444" s="48"/>
      <c r="T444" s="48"/>
      <c r="U444" s="48"/>
      <c r="V444" s="48"/>
      <c r="W444" s="48"/>
    </row>
    <row r="445" ht="32.9" customHeight="true" spans="1:23">
      <c r="A445" s="18" t="s">
        <v>567</v>
      </c>
      <c r="B445" s="155" t="s">
        <v>779</v>
      </c>
      <c r="C445" s="18" t="s">
        <v>778</v>
      </c>
      <c r="D445" s="18" t="s">
        <v>75</v>
      </c>
      <c r="E445" s="18" t="s">
        <v>142</v>
      </c>
      <c r="F445" s="18" t="s">
        <v>549</v>
      </c>
      <c r="G445" s="18" t="s">
        <v>281</v>
      </c>
      <c r="H445" s="18" t="s">
        <v>282</v>
      </c>
      <c r="I445" s="48">
        <v>5400</v>
      </c>
      <c r="J445" s="48"/>
      <c r="K445" s="48"/>
      <c r="L445" s="48"/>
      <c r="M445" s="48"/>
      <c r="N445" s="48">
        <v>5400</v>
      </c>
      <c r="O445" s="48"/>
      <c r="P445" s="48"/>
      <c r="Q445" s="48"/>
      <c r="R445" s="48"/>
      <c r="S445" s="48"/>
      <c r="T445" s="48"/>
      <c r="U445" s="48"/>
      <c r="V445" s="48"/>
      <c r="W445" s="48"/>
    </row>
    <row r="446" ht="32.9" customHeight="true" spans="1:23">
      <c r="A446" s="18" t="s">
        <v>567</v>
      </c>
      <c r="B446" s="155" t="s">
        <v>779</v>
      </c>
      <c r="C446" s="18" t="s">
        <v>778</v>
      </c>
      <c r="D446" s="18" t="s">
        <v>75</v>
      </c>
      <c r="E446" s="18" t="s">
        <v>142</v>
      </c>
      <c r="F446" s="18" t="s">
        <v>549</v>
      </c>
      <c r="G446" s="18" t="s">
        <v>625</v>
      </c>
      <c r="H446" s="18" t="s">
        <v>626</v>
      </c>
      <c r="I446" s="48">
        <v>679200</v>
      </c>
      <c r="J446" s="48"/>
      <c r="K446" s="48"/>
      <c r="L446" s="48"/>
      <c r="M446" s="48"/>
      <c r="N446" s="48">
        <v>679200</v>
      </c>
      <c r="O446" s="48"/>
      <c r="P446" s="48"/>
      <c r="Q446" s="48"/>
      <c r="R446" s="48"/>
      <c r="S446" s="48"/>
      <c r="T446" s="48"/>
      <c r="U446" s="48"/>
      <c r="V446" s="48"/>
      <c r="W446" s="48"/>
    </row>
    <row r="447" ht="32.9" customHeight="true" spans="1:23">
      <c r="A447" s="18" t="s">
        <v>567</v>
      </c>
      <c r="B447" s="155" t="s">
        <v>779</v>
      </c>
      <c r="C447" s="18" t="s">
        <v>778</v>
      </c>
      <c r="D447" s="18" t="s">
        <v>75</v>
      </c>
      <c r="E447" s="18" t="s">
        <v>142</v>
      </c>
      <c r="F447" s="18" t="s">
        <v>549</v>
      </c>
      <c r="G447" s="18" t="s">
        <v>316</v>
      </c>
      <c r="H447" s="18" t="s">
        <v>317</v>
      </c>
      <c r="I447" s="48">
        <v>512611.68</v>
      </c>
      <c r="J447" s="48"/>
      <c r="K447" s="48"/>
      <c r="L447" s="48"/>
      <c r="M447" s="48"/>
      <c r="N447" s="48">
        <v>512611.68</v>
      </c>
      <c r="O447" s="48"/>
      <c r="P447" s="48"/>
      <c r="Q447" s="48"/>
      <c r="R447" s="48"/>
      <c r="S447" s="48"/>
      <c r="T447" s="48"/>
      <c r="U447" s="48"/>
      <c r="V447" s="48"/>
      <c r="W447" s="48"/>
    </row>
    <row r="448" ht="32.9" customHeight="true" spans="1:23">
      <c r="A448" s="18" t="s">
        <v>567</v>
      </c>
      <c r="B448" s="155" t="s">
        <v>779</v>
      </c>
      <c r="C448" s="18" t="s">
        <v>778</v>
      </c>
      <c r="D448" s="18" t="s">
        <v>75</v>
      </c>
      <c r="E448" s="18" t="s">
        <v>142</v>
      </c>
      <c r="F448" s="18" t="s">
        <v>549</v>
      </c>
      <c r="G448" s="18" t="s">
        <v>273</v>
      </c>
      <c r="H448" s="18" t="s">
        <v>274</v>
      </c>
      <c r="I448" s="48">
        <v>135000</v>
      </c>
      <c r="J448" s="48"/>
      <c r="K448" s="48"/>
      <c r="L448" s="48"/>
      <c r="M448" s="48"/>
      <c r="N448" s="48">
        <v>135000</v>
      </c>
      <c r="O448" s="48"/>
      <c r="P448" s="48"/>
      <c r="Q448" s="48"/>
      <c r="R448" s="48"/>
      <c r="S448" s="48"/>
      <c r="T448" s="48"/>
      <c r="U448" s="48"/>
      <c r="V448" s="48"/>
      <c r="W448" s="48"/>
    </row>
    <row r="449" ht="32.9" customHeight="true" spans="1:23">
      <c r="A449" s="18" t="s">
        <v>567</v>
      </c>
      <c r="B449" s="155" t="s">
        <v>779</v>
      </c>
      <c r="C449" s="18" t="s">
        <v>778</v>
      </c>
      <c r="D449" s="18" t="s">
        <v>75</v>
      </c>
      <c r="E449" s="18" t="s">
        <v>142</v>
      </c>
      <c r="F449" s="18" t="s">
        <v>549</v>
      </c>
      <c r="G449" s="18" t="s">
        <v>629</v>
      </c>
      <c r="H449" s="18" t="s">
        <v>630</v>
      </c>
      <c r="I449" s="48">
        <v>180000</v>
      </c>
      <c r="J449" s="48"/>
      <c r="K449" s="48"/>
      <c r="L449" s="48"/>
      <c r="M449" s="48"/>
      <c r="N449" s="48">
        <v>180000</v>
      </c>
      <c r="O449" s="48"/>
      <c r="P449" s="48"/>
      <c r="Q449" s="48"/>
      <c r="R449" s="48"/>
      <c r="S449" s="48"/>
      <c r="T449" s="48"/>
      <c r="U449" s="48"/>
      <c r="V449" s="48"/>
      <c r="W449" s="48"/>
    </row>
    <row r="450" ht="32.9" customHeight="true" spans="1:23">
      <c r="A450" s="18"/>
      <c r="B450" s="18"/>
      <c r="C450" s="18" t="s">
        <v>780</v>
      </c>
      <c r="D450" s="18"/>
      <c r="E450" s="18"/>
      <c r="F450" s="18"/>
      <c r="G450" s="18"/>
      <c r="H450" s="18"/>
      <c r="I450" s="48">
        <v>485000</v>
      </c>
      <c r="J450" s="48"/>
      <c r="K450" s="48"/>
      <c r="L450" s="48"/>
      <c r="M450" s="48"/>
      <c r="N450" s="48">
        <v>485000</v>
      </c>
      <c r="O450" s="48"/>
      <c r="P450" s="48"/>
      <c r="Q450" s="48"/>
      <c r="R450" s="48"/>
      <c r="S450" s="48"/>
      <c r="T450" s="48"/>
      <c r="U450" s="48"/>
      <c r="V450" s="48"/>
      <c r="W450" s="48"/>
    </row>
    <row r="451" ht="32.9" customHeight="true" spans="1:23">
      <c r="A451" s="18" t="s">
        <v>567</v>
      </c>
      <c r="B451" s="155" t="s">
        <v>781</v>
      </c>
      <c r="C451" s="18" t="s">
        <v>780</v>
      </c>
      <c r="D451" s="18" t="s">
        <v>75</v>
      </c>
      <c r="E451" s="18" t="s">
        <v>128</v>
      </c>
      <c r="F451" s="18" t="s">
        <v>424</v>
      </c>
      <c r="G451" s="18" t="s">
        <v>728</v>
      </c>
      <c r="H451" s="18" t="s">
        <v>729</v>
      </c>
      <c r="I451" s="48">
        <v>485000</v>
      </c>
      <c r="J451" s="48"/>
      <c r="K451" s="48"/>
      <c r="L451" s="48"/>
      <c r="M451" s="48"/>
      <c r="N451" s="48">
        <v>485000</v>
      </c>
      <c r="O451" s="48"/>
      <c r="P451" s="48"/>
      <c r="Q451" s="48"/>
      <c r="R451" s="48"/>
      <c r="S451" s="48"/>
      <c r="T451" s="48"/>
      <c r="U451" s="48"/>
      <c r="V451" s="48"/>
      <c r="W451" s="48"/>
    </row>
    <row r="452" ht="32.9" customHeight="true" spans="1:23">
      <c r="A452" s="18"/>
      <c r="B452" s="18"/>
      <c r="C452" s="18" t="s">
        <v>782</v>
      </c>
      <c r="D452" s="18"/>
      <c r="E452" s="18"/>
      <c r="F452" s="18"/>
      <c r="G452" s="18"/>
      <c r="H452" s="18"/>
      <c r="I452" s="48">
        <v>1694424</v>
      </c>
      <c r="J452" s="48"/>
      <c r="K452" s="48"/>
      <c r="L452" s="48"/>
      <c r="M452" s="48"/>
      <c r="N452" s="48">
        <v>1694424</v>
      </c>
      <c r="O452" s="48"/>
      <c r="P452" s="48"/>
      <c r="Q452" s="48"/>
      <c r="R452" s="48"/>
      <c r="S452" s="48"/>
      <c r="T452" s="48"/>
      <c r="U452" s="48"/>
      <c r="V452" s="48"/>
      <c r="W452" s="48"/>
    </row>
    <row r="453" ht="32.9" customHeight="true" spans="1:23">
      <c r="A453" s="18" t="s">
        <v>567</v>
      </c>
      <c r="B453" s="155" t="s">
        <v>783</v>
      </c>
      <c r="C453" s="18" t="s">
        <v>782</v>
      </c>
      <c r="D453" s="18" t="s">
        <v>75</v>
      </c>
      <c r="E453" s="18" t="s">
        <v>154</v>
      </c>
      <c r="F453" s="18" t="s">
        <v>569</v>
      </c>
      <c r="G453" s="18" t="s">
        <v>281</v>
      </c>
      <c r="H453" s="18" t="s">
        <v>282</v>
      </c>
      <c r="I453" s="48">
        <v>1694424</v>
      </c>
      <c r="J453" s="48"/>
      <c r="K453" s="48"/>
      <c r="L453" s="48"/>
      <c r="M453" s="48"/>
      <c r="N453" s="48">
        <v>1694424</v>
      </c>
      <c r="O453" s="48"/>
      <c r="P453" s="48"/>
      <c r="Q453" s="48"/>
      <c r="R453" s="48"/>
      <c r="S453" s="48"/>
      <c r="T453" s="48"/>
      <c r="U453" s="48"/>
      <c r="V453" s="48"/>
      <c r="W453" s="48"/>
    </row>
    <row r="454" ht="32.9" customHeight="true" spans="1:23">
      <c r="A454" s="18"/>
      <c r="B454" s="18"/>
      <c r="C454" s="18" t="s">
        <v>784</v>
      </c>
      <c r="D454" s="18"/>
      <c r="E454" s="18"/>
      <c r="F454" s="18"/>
      <c r="G454" s="18"/>
      <c r="H454" s="18"/>
      <c r="I454" s="48">
        <v>96000</v>
      </c>
      <c r="J454" s="48"/>
      <c r="K454" s="48"/>
      <c r="L454" s="48"/>
      <c r="M454" s="48"/>
      <c r="N454" s="48">
        <v>96000</v>
      </c>
      <c r="O454" s="48"/>
      <c r="P454" s="48"/>
      <c r="Q454" s="48"/>
      <c r="R454" s="48"/>
      <c r="S454" s="48"/>
      <c r="T454" s="48"/>
      <c r="U454" s="48"/>
      <c r="V454" s="48"/>
      <c r="W454" s="48"/>
    </row>
    <row r="455" ht="32.9" customHeight="true" spans="1:23">
      <c r="A455" s="18" t="s">
        <v>538</v>
      </c>
      <c r="B455" s="155" t="s">
        <v>785</v>
      </c>
      <c r="C455" s="18" t="s">
        <v>784</v>
      </c>
      <c r="D455" s="18" t="s">
        <v>75</v>
      </c>
      <c r="E455" s="18" t="s">
        <v>141</v>
      </c>
      <c r="F455" s="18" t="s">
        <v>555</v>
      </c>
      <c r="G455" s="18" t="s">
        <v>281</v>
      </c>
      <c r="H455" s="18" t="s">
        <v>282</v>
      </c>
      <c r="I455" s="48">
        <v>32500</v>
      </c>
      <c r="J455" s="48"/>
      <c r="K455" s="48"/>
      <c r="L455" s="48"/>
      <c r="M455" s="48"/>
      <c r="N455" s="48">
        <v>32500</v>
      </c>
      <c r="O455" s="48"/>
      <c r="P455" s="48"/>
      <c r="Q455" s="48"/>
      <c r="R455" s="48"/>
      <c r="S455" s="48"/>
      <c r="T455" s="48"/>
      <c r="U455" s="48"/>
      <c r="V455" s="48"/>
      <c r="W455" s="48"/>
    </row>
    <row r="456" ht="32.9" customHeight="true" spans="1:23">
      <c r="A456" s="18" t="s">
        <v>538</v>
      </c>
      <c r="B456" s="155" t="s">
        <v>785</v>
      </c>
      <c r="C456" s="18" t="s">
        <v>784</v>
      </c>
      <c r="D456" s="18" t="s">
        <v>75</v>
      </c>
      <c r="E456" s="18" t="s">
        <v>141</v>
      </c>
      <c r="F456" s="18" t="s">
        <v>555</v>
      </c>
      <c r="G456" s="18" t="s">
        <v>625</v>
      </c>
      <c r="H456" s="18" t="s">
        <v>626</v>
      </c>
      <c r="I456" s="48">
        <v>28500</v>
      </c>
      <c r="J456" s="48"/>
      <c r="K456" s="48"/>
      <c r="L456" s="48"/>
      <c r="M456" s="48"/>
      <c r="N456" s="48">
        <v>28500</v>
      </c>
      <c r="O456" s="48"/>
      <c r="P456" s="48"/>
      <c r="Q456" s="48"/>
      <c r="R456" s="48"/>
      <c r="S456" s="48"/>
      <c r="T456" s="48"/>
      <c r="U456" s="48"/>
      <c r="V456" s="48"/>
      <c r="W456" s="48"/>
    </row>
    <row r="457" ht="32.9" customHeight="true" spans="1:23">
      <c r="A457" s="18" t="s">
        <v>538</v>
      </c>
      <c r="B457" s="155" t="s">
        <v>785</v>
      </c>
      <c r="C457" s="18" t="s">
        <v>784</v>
      </c>
      <c r="D457" s="18" t="s">
        <v>75</v>
      </c>
      <c r="E457" s="18" t="s">
        <v>141</v>
      </c>
      <c r="F457" s="18" t="s">
        <v>555</v>
      </c>
      <c r="G457" s="18" t="s">
        <v>629</v>
      </c>
      <c r="H457" s="18" t="s">
        <v>630</v>
      </c>
      <c r="I457" s="48">
        <v>35000</v>
      </c>
      <c r="J457" s="48"/>
      <c r="K457" s="48"/>
      <c r="L457" s="48"/>
      <c r="M457" s="48"/>
      <c r="N457" s="48">
        <v>35000</v>
      </c>
      <c r="O457" s="48"/>
      <c r="P457" s="48"/>
      <c r="Q457" s="48"/>
      <c r="R457" s="48"/>
      <c r="S457" s="48"/>
      <c r="T457" s="48"/>
      <c r="U457" s="48"/>
      <c r="V457" s="48"/>
      <c r="W457" s="48"/>
    </row>
    <row r="458" ht="32.9" customHeight="true" spans="1:23">
      <c r="A458" s="18"/>
      <c r="B458" s="18"/>
      <c r="C458" s="18" t="s">
        <v>786</v>
      </c>
      <c r="D458" s="18"/>
      <c r="E458" s="18"/>
      <c r="F458" s="18"/>
      <c r="G458" s="18"/>
      <c r="H458" s="18"/>
      <c r="I458" s="48">
        <v>116299</v>
      </c>
      <c r="J458" s="48"/>
      <c r="K458" s="48"/>
      <c r="L458" s="48"/>
      <c r="M458" s="48"/>
      <c r="N458" s="48">
        <v>116299</v>
      </c>
      <c r="O458" s="48"/>
      <c r="P458" s="48"/>
      <c r="Q458" s="48"/>
      <c r="R458" s="48"/>
      <c r="S458" s="48"/>
      <c r="T458" s="48"/>
      <c r="U458" s="48"/>
      <c r="V458" s="48"/>
      <c r="W458" s="48"/>
    </row>
    <row r="459" ht="32.9" customHeight="true" spans="1:23">
      <c r="A459" s="18" t="s">
        <v>559</v>
      </c>
      <c r="B459" s="155" t="s">
        <v>787</v>
      </c>
      <c r="C459" s="18" t="s">
        <v>786</v>
      </c>
      <c r="D459" s="18" t="s">
        <v>75</v>
      </c>
      <c r="E459" s="18" t="s">
        <v>154</v>
      </c>
      <c r="F459" s="18" t="s">
        <v>569</v>
      </c>
      <c r="G459" s="18" t="s">
        <v>281</v>
      </c>
      <c r="H459" s="18" t="s">
        <v>282</v>
      </c>
      <c r="I459" s="48">
        <v>36299</v>
      </c>
      <c r="J459" s="48"/>
      <c r="K459" s="48"/>
      <c r="L459" s="48"/>
      <c r="M459" s="48"/>
      <c r="N459" s="48">
        <v>36299</v>
      </c>
      <c r="O459" s="48"/>
      <c r="P459" s="48"/>
      <c r="Q459" s="48"/>
      <c r="R459" s="48"/>
      <c r="S459" s="48"/>
      <c r="T459" s="48"/>
      <c r="U459" s="48"/>
      <c r="V459" s="48"/>
      <c r="W459" s="48"/>
    </row>
    <row r="460" ht="32.9" customHeight="true" spans="1:23">
      <c r="A460" s="18" t="s">
        <v>559</v>
      </c>
      <c r="B460" s="155" t="s">
        <v>787</v>
      </c>
      <c r="C460" s="18" t="s">
        <v>786</v>
      </c>
      <c r="D460" s="18" t="s">
        <v>75</v>
      </c>
      <c r="E460" s="18" t="s">
        <v>154</v>
      </c>
      <c r="F460" s="18" t="s">
        <v>569</v>
      </c>
      <c r="G460" s="18" t="s">
        <v>631</v>
      </c>
      <c r="H460" s="18" t="s">
        <v>632</v>
      </c>
      <c r="I460" s="48">
        <v>80000</v>
      </c>
      <c r="J460" s="48"/>
      <c r="K460" s="48"/>
      <c r="L460" s="48"/>
      <c r="M460" s="48"/>
      <c r="N460" s="48">
        <v>80000</v>
      </c>
      <c r="O460" s="48"/>
      <c r="P460" s="48"/>
      <c r="Q460" s="48"/>
      <c r="R460" s="48"/>
      <c r="S460" s="48"/>
      <c r="T460" s="48"/>
      <c r="U460" s="48"/>
      <c r="V460" s="48"/>
      <c r="W460" s="48"/>
    </row>
    <row r="461" ht="32.9" customHeight="true" spans="1:23">
      <c r="A461" s="18"/>
      <c r="B461" s="18"/>
      <c r="C461" s="18" t="s">
        <v>788</v>
      </c>
      <c r="D461" s="18"/>
      <c r="E461" s="18"/>
      <c r="F461" s="18"/>
      <c r="G461" s="18"/>
      <c r="H461" s="18"/>
      <c r="I461" s="48">
        <v>200000</v>
      </c>
      <c r="J461" s="48"/>
      <c r="K461" s="48"/>
      <c r="L461" s="48"/>
      <c r="M461" s="48"/>
      <c r="N461" s="48">
        <v>200000</v>
      </c>
      <c r="O461" s="48"/>
      <c r="P461" s="48"/>
      <c r="Q461" s="48"/>
      <c r="R461" s="48"/>
      <c r="S461" s="48"/>
      <c r="T461" s="48"/>
      <c r="U461" s="48"/>
      <c r="V461" s="48"/>
      <c r="W461" s="48"/>
    </row>
    <row r="462" ht="32.9" customHeight="true" spans="1:23">
      <c r="A462" s="18" t="s">
        <v>559</v>
      </c>
      <c r="B462" s="155" t="s">
        <v>789</v>
      </c>
      <c r="C462" s="18" t="s">
        <v>788</v>
      </c>
      <c r="D462" s="18" t="s">
        <v>75</v>
      </c>
      <c r="E462" s="18" t="s">
        <v>154</v>
      </c>
      <c r="F462" s="18" t="s">
        <v>569</v>
      </c>
      <c r="G462" s="18" t="s">
        <v>275</v>
      </c>
      <c r="H462" s="18" t="s">
        <v>276</v>
      </c>
      <c r="I462" s="48">
        <v>5000</v>
      </c>
      <c r="J462" s="48"/>
      <c r="K462" s="48"/>
      <c r="L462" s="48"/>
      <c r="M462" s="48"/>
      <c r="N462" s="48">
        <v>5000</v>
      </c>
      <c r="O462" s="48"/>
      <c r="P462" s="48"/>
      <c r="Q462" s="48"/>
      <c r="R462" s="48"/>
      <c r="S462" s="48"/>
      <c r="T462" s="48"/>
      <c r="U462" s="48"/>
      <c r="V462" s="48"/>
      <c r="W462" s="48"/>
    </row>
    <row r="463" ht="32.9" customHeight="true" spans="1:23">
      <c r="A463" s="18" t="s">
        <v>559</v>
      </c>
      <c r="B463" s="155" t="s">
        <v>789</v>
      </c>
      <c r="C463" s="18" t="s">
        <v>788</v>
      </c>
      <c r="D463" s="18" t="s">
        <v>75</v>
      </c>
      <c r="E463" s="18" t="s">
        <v>154</v>
      </c>
      <c r="F463" s="18" t="s">
        <v>569</v>
      </c>
      <c r="G463" s="18" t="s">
        <v>341</v>
      </c>
      <c r="H463" s="18" t="s">
        <v>342</v>
      </c>
      <c r="I463" s="48">
        <v>10000</v>
      </c>
      <c r="J463" s="48"/>
      <c r="K463" s="48"/>
      <c r="L463" s="48"/>
      <c r="M463" s="48"/>
      <c r="N463" s="48">
        <v>10000</v>
      </c>
      <c r="O463" s="48"/>
      <c r="P463" s="48"/>
      <c r="Q463" s="48"/>
      <c r="R463" s="48"/>
      <c r="S463" s="48"/>
      <c r="T463" s="48"/>
      <c r="U463" s="48"/>
      <c r="V463" s="48"/>
      <c r="W463" s="48"/>
    </row>
    <row r="464" ht="32.9" customHeight="true" spans="1:23">
      <c r="A464" s="18" t="s">
        <v>559</v>
      </c>
      <c r="B464" s="155" t="s">
        <v>789</v>
      </c>
      <c r="C464" s="18" t="s">
        <v>788</v>
      </c>
      <c r="D464" s="18" t="s">
        <v>75</v>
      </c>
      <c r="E464" s="18" t="s">
        <v>154</v>
      </c>
      <c r="F464" s="18" t="s">
        <v>569</v>
      </c>
      <c r="G464" s="18" t="s">
        <v>281</v>
      </c>
      <c r="H464" s="18" t="s">
        <v>282</v>
      </c>
      <c r="I464" s="48">
        <v>95400</v>
      </c>
      <c r="J464" s="48"/>
      <c r="K464" s="48"/>
      <c r="L464" s="48"/>
      <c r="M464" s="48"/>
      <c r="N464" s="48">
        <v>95400</v>
      </c>
      <c r="O464" s="48"/>
      <c r="P464" s="48"/>
      <c r="Q464" s="48"/>
      <c r="R464" s="48"/>
      <c r="S464" s="48"/>
      <c r="T464" s="48"/>
      <c r="U464" s="48"/>
      <c r="V464" s="48"/>
      <c r="W464" s="48"/>
    </row>
    <row r="465" ht="32.9" customHeight="true" spans="1:23">
      <c r="A465" s="18" t="s">
        <v>559</v>
      </c>
      <c r="B465" s="155" t="s">
        <v>789</v>
      </c>
      <c r="C465" s="18" t="s">
        <v>788</v>
      </c>
      <c r="D465" s="18" t="s">
        <v>75</v>
      </c>
      <c r="E465" s="18" t="s">
        <v>154</v>
      </c>
      <c r="F465" s="18" t="s">
        <v>569</v>
      </c>
      <c r="G465" s="18" t="s">
        <v>316</v>
      </c>
      <c r="H465" s="18" t="s">
        <v>317</v>
      </c>
      <c r="I465" s="48">
        <v>69600</v>
      </c>
      <c r="J465" s="48"/>
      <c r="K465" s="48"/>
      <c r="L465" s="48"/>
      <c r="M465" s="48"/>
      <c r="N465" s="48">
        <v>69600</v>
      </c>
      <c r="O465" s="48"/>
      <c r="P465" s="48"/>
      <c r="Q465" s="48"/>
      <c r="R465" s="48"/>
      <c r="S465" s="48"/>
      <c r="T465" s="48"/>
      <c r="U465" s="48"/>
      <c r="V465" s="48"/>
      <c r="W465" s="48"/>
    </row>
    <row r="466" ht="32.9" customHeight="true" spans="1:23">
      <c r="A466" s="18" t="s">
        <v>559</v>
      </c>
      <c r="B466" s="155" t="s">
        <v>789</v>
      </c>
      <c r="C466" s="18" t="s">
        <v>788</v>
      </c>
      <c r="D466" s="18" t="s">
        <v>75</v>
      </c>
      <c r="E466" s="18" t="s">
        <v>154</v>
      </c>
      <c r="F466" s="18" t="s">
        <v>569</v>
      </c>
      <c r="G466" s="18" t="s">
        <v>273</v>
      </c>
      <c r="H466" s="18" t="s">
        <v>274</v>
      </c>
      <c r="I466" s="48">
        <v>20000</v>
      </c>
      <c r="J466" s="48"/>
      <c r="K466" s="48"/>
      <c r="L466" s="48"/>
      <c r="M466" s="48"/>
      <c r="N466" s="48">
        <v>20000</v>
      </c>
      <c r="O466" s="48"/>
      <c r="P466" s="48"/>
      <c r="Q466" s="48"/>
      <c r="R466" s="48"/>
      <c r="S466" s="48"/>
      <c r="T466" s="48"/>
      <c r="U466" s="48"/>
      <c r="V466" s="48"/>
      <c r="W466" s="48"/>
    </row>
    <row r="467" ht="32.9" customHeight="true" spans="1:23">
      <c r="A467" s="18"/>
      <c r="B467" s="18"/>
      <c r="C467" s="18" t="s">
        <v>790</v>
      </c>
      <c r="D467" s="18"/>
      <c r="E467" s="18"/>
      <c r="F467" s="18"/>
      <c r="G467" s="18"/>
      <c r="H467" s="18"/>
      <c r="I467" s="48">
        <v>588360.24</v>
      </c>
      <c r="J467" s="48"/>
      <c r="K467" s="48"/>
      <c r="L467" s="48"/>
      <c r="M467" s="48"/>
      <c r="N467" s="48">
        <v>588360.24</v>
      </c>
      <c r="O467" s="48"/>
      <c r="P467" s="48"/>
      <c r="Q467" s="48"/>
      <c r="R467" s="48"/>
      <c r="S467" s="48"/>
      <c r="T467" s="48"/>
      <c r="U467" s="48"/>
      <c r="V467" s="48"/>
      <c r="W467" s="48"/>
    </row>
    <row r="468" ht="32.9" customHeight="true" spans="1:23">
      <c r="A468" s="18" t="s">
        <v>538</v>
      </c>
      <c r="B468" s="155" t="s">
        <v>791</v>
      </c>
      <c r="C468" s="18" t="s">
        <v>790</v>
      </c>
      <c r="D468" s="18" t="s">
        <v>75</v>
      </c>
      <c r="E468" s="18" t="s">
        <v>141</v>
      </c>
      <c r="F468" s="18" t="s">
        <v>555</v>
      </c>
      <c r="G468" s="18" t="s">
        <v>625</v>
      </c>
      <c r="H468" s="18" t="s">
        <v>626</v>
      </c>
      <c r="I468" s="48">
        <v>182755.84</v>
      </c>
      <c r="J468" s="48"/>
      <c r="K468" s="48"/>
      <c r="L468" s="48"/>
      <c r="M468" s="48"/>
      <c r="N468" s="48">
        <v>182755.84</v>
      </c>
      <c r="O468" s="48"/>
      <c r="P468" s="48"/>
      <c r="Q468" s="48"/>
      <c r="R468" s="48"/>
      <c r="S468" s="48"/>
      <c r="T468" s="48"/>
      <c r="U468" s="48"/>
      <c r="V468" s="48"/>
      <c r="W468" s="48"/>
    </row>
    <row r="469" ht="32.9" customHeight="true" spans="1:23">
      <c r="A469" s="18" t="s">
        <v>538</v>
      </c>
      <c r="B469" s="155" t="s">
        <v>791</v>
      </c>
      <c r="C469" s="18" t="s">
        <v>790</v>
      </c>
      <c r="D469" s="18" t="s">
        <v>75</v>
      </c>
      <c r="E469" s="18" t="s">
        <v>142</v>
      </c>
      <c r="F469" s="18" t="s">
        <v>549</v>
      </c>
      <c r="G469" s="18" t="s">
        <v>281</v>
      </c>
      <c r="H469" s="18" t="s">
        <v>282</v>
      </c>
      <c r="I469" s="48">
        <v>34200</v>
      </c>
      <c r="J469" s="48"/>
      <c r="K469" s="48"/>
      <c r="L469" s="48"/>
      <c r="M469" s="48"/>
      <c r="N469" s="48">
        <v>34200</v>
      </c>
      <c r="O469" s="48"/>
      <c r="P469" s="48"/>
      <c r="Q469" s="48"/>
      <c r="R469" s="48"/>
      <c r="S469" s="48"/>
      <c r="T469" s="48"/>
      <c r="U469" s="48"/>
      <c r="V469" s="48"/>
      <c r="W469" s="48"/>
    </row>
    <row r="470" ht="32.9" customHeight="true" spans="1:23">
      <c r="A470" s="18" t="s">
        <v>538</v>
      </c>
      <c r="B470" s="155" t="s">
        <v>791</v>
      </c>
      <c r="C470" s="18" t="s">
        <v>790</v>
      </c>
      <c r="D470" s="18" t="s">
        <v>75</v>
      </c>
      <c r="E470" s="18" t="s">
        <v>142</v>
      </c>
      <c r="F470" s="18" t="s">
        <v>549</v>
      </c>
      <c r="G470" s="18" t="s">
        <v>316</v>
      </c>
      <c r="H470" s="18" t="s">
        <v>317</v>
      </c>
      <c r="I470" s="48">
        <v>118404.4</v>
      </c>
      <c r="J470" s="48"/>
      <c r="K470" s="48"/>
      <c r="L470" s="48"/>
      <c r="M470" s="48"/>
      <c r="N470" s="48">
        <v>118404.4</v>
      </c>
      <c r="O470" s="48"/>
      <c r="P470" s="48"/>
      <c r="Q470" s="48"/>
      <c r="R470" s="48"/>
      <c r="S470" s="48"/>
      <c r="T470" s="48"/>
      <c r="U470" s="48"/>
      <c r="V470" s="48"/>
      <c r="W470" s="48"/>
    </row>
    <row r="471" ht="32.9" customHeight="true" spans="1:23">
      <c r="A471" s="18" t="s">
        <v>538</v>
      </c>
      <c r="B471" s="155" t="s">
        <v>791</v>
      </c>
      <c r="C471" s="18" t="s">
        <v>790</v>
      </c>
      <c r="D471" s="18" t="s">
        <v>75</v>
      </c>
      <c r="E471" s="18" t="s">
        <v>142</v>
      </c>
      <c r="F471" s="18" t="s">
        <v>549</v>
      </c>
      <c r="G471" s="18" t="s">
        <v>273</v>
      </c>
      <c r="H471" s="18" t="s">
        <v>274</v>
      </c>
      <c r="I471" s="48">
        <v>59000</v>
      </c>
      <c r="J471" s="48"/>
      <c r="K471" s="48"/>
      <c r="L471" s="48"/>
      <c r="M471" s="48"/>
      <c r="N471" s="48">
        <v>59000</v>
      </c>
      <c r="O471" s="48"/>
      <c r="P471" s="48"/>
      <c r="Q471" s="48"/>
      <c r="R471" s="48"/>
      <c r="S471" s="48"/>
      <c r="T471" s="48"/>
      <c r="U471" s="48"/>
      <c r="V471" s="48"/>
      <c r="W471" s="48"/>
    </row>
    <row r="472" ht="32.9" customHeight="true" spans="1:23">
      <c r="A472" s="18" t="s">
        <v>538</v>
      </c>
      <c r="B472" s="155" t="s">
        <v>791</v>
      </c>
      <c r="C472" s="18" t="s">
        <v>790</v>
      </c>
      <c r="D472" s="18" t="s">
        <v>75</v>
      </c>
      <c r="E472" s="18" t="s">
        <v>142</v>
      </c>
      <c r="F472" s="18" t="s">
        <v>549</v>
      </c>
      <c r="G472" s="18" t="s">
        <v>629</v>
      </c>
      <c r="H472" s="18" t="s">
        <v>630</v>
      </c>
      <c r="I472" s="48">
        <v>194000</v>
      </c>
      <c r="J472" s="48"/>
      <c r="K472" s="48"/>
      <c r="L472" s="48"/>
      <c r="M472" s="48"/>
      <c r="N472" s="48">
        <v>194000</v>
      </c>
      <c r="O472" s="48"/>
      <c r="P472" s="48"/>
      <c r="Q472" s="48"/>
      <c r="R472" s="48"/>
      <c r="S472" s="48"/>
      <c r="T472" s="48"/>
      <c r="U472" s="48"/>
      <c r="V472" s="48"/>
      <c r="W472" s="48"/>
    </row>
    <row r="473" ht="32.9" customHeight="true" spans="1:23">
      <c r="A473" s="18"/>
      <c r="B473" s="18"/>
      <c r="C473" s="18" t="s">
        <v>792</v>
      </c>
      <c r="D473" s="18"/>
      <c r="E473" s="18"/>
      <c r="F473" s="18"/>
      <c r="G473" s="18"/>
      <c r="H473" s="18"/>
      <c r="I473" s="48">
        <v>400000</v>
      </c>
      <c r="J473" s="48"/>
      <c r="K473" s="48"/>
      <c r="L473" s="48"/>
      <c r="M473" s="48"/>
      <c r="N473" s="48">
        <v>400000</v>
      </c>
      <c r="O473" s="48"/>
      <c r="P473" s="48"/>
      <c r="Q473" s="48"/>
      <c r="R473" s="48"/>
      <c r="S473" s="48"/>
      <c r="T473" s="48"/>
      <c r="U473" s="48"/>
      <c r="V473" s="48"/>
      <c r="W473" s="48"/>
    </row>
    <row r="474" ht="32.9" customHeight="true" spans="1:23">
      <c r="A474" s="18" t="s">
        <v>567</v>
      </c>
      <c r="B474" s="155" t="s">
        <v>793</v>
      </c>
      <c r="C474" s="18" t="s">
        <v>792</v>
      </c>
      <c r="D474" s="18" t="s">
        <v>75</v>
      </c>
      <c r="E474" s="18" t="s">
        <v>154</v>
      </c>
      <c r="F474" s="18" t="s">
        <v>569</v>
      </c>
      <c r="G474" s="18" t="s">
        <v>281</v>
      </c>
      <c r="H474" s="18" t="s">
        <v>282</v>
      </c>
      <c r="I474" s="48">
        <v>92000</v>
      </c>
      <c r="J474" s="48"/>
      <c r="K474" s="48"/>
      <c r="L474" s="48"/>
      <c r="M474" s="48"/>
      <c r="N474" s="48">
        <v>92000</v>
      </c>
      <c r="O474" s="48"/>
      <c r="P474" s="48"/>
      <c r="Q474" s="48"/>
      <c r="R474" s="48"/>
      <c r="S474" s="48"/>
      <c r="T474" s="48"/>
      <c r="U474" s="48"/>
      <c r="V474" s="48"/>
      <c r="W474" s="48"/>
    </row>
    <row r="475" ht="32.9" customHeight="true" spans="1:23">
      <c r="A475" s="18" t="s">
        <v>567</v>
      </c>
      <c r="B475" s="155" t="s">
        <v>793</v>
      </c>
      <c r="C475" s="18" t="s">
        <v>792</v>
      </c>
      <c r="D475" s="18" t="s">
        <v>75</v>
      </c>
      <c r="E475" s="18" t="s">
        <v>154</v>
      </c>
      <c r="F475" s="18" t="s">
        <v>569</v>
      </c>
      <c r="G475" s="18" t="s">
        <v>316</v>
      </c>
      <c r="H475" s="18" t="s">
        <v>317</v>
      </c>
      <c r="I475" s="48">
        <v>20000</v>
      </c>
      <c r="J475" s="48"/>
      <c r="K475" s="48"/>
      <c r="L475" s="48"/>
      <c r="M475" s="48"/>
      <c r="N475" s="48">
        <v>20000</v>
      </c>
      <c r="O475" s="48"/>
      <c r="P475" s="48"/>
      <c r="Q475" s="48"/>
      <c r="R475" s="48"/>
      <c r="S475" s="48"/>
      <c r="T475" s="48"/>
      <c r="U475" s="48"/>
      <c r="V475" s="48"/>
      <c r="W475" s="48"/>
    </row>
    <row r="476" ht="32.9" customHeight="true" spans="1:23">
      <c r="A476" s="18" t="s">
        <v>567</v>
      </c>
      <c r="B476" s="155" t="s">
        <v>793</v>
      </c>
      <c r="C476" s="18" t="s">
        <v>792</v>
      </c>
      <c r="D476" s="18" t="s">
        <v>75</v>
      </c>
      <c r="E476" s="18" t="s">
        <v>154</v>
      </c>
      <c r="F476" s="18" t="s">
        <v>569</v>
      </c>
      <c r="G476" s="18" t="s">
        <v>283</v>
      </c>
      <c r="H476" s="18" t="s">
        <v>284</v>
      </c>
      <c r="I476" s="48">
        <v>268000</v>
      </c>
      <c r="J476" s="48"/>
      <c r="K476" s="48"/>
      <c r="L476" s="48"/>
      <c r="M476" s="48"/>
      <c r="N476" s="48">
        <v>268000</v>
      </c>
      <c r="O476" s="48"/>
      <c r="P476" s="48"/>
      <c r="Q476" s="48"/>
      <c r="R476" s="48"/>
      <c r="S476" s="48"/>
      <c r="T476" s="48"/>
      <c r="U476" s="48"/>
      <c r="V476" s="48"/>
      <c r="W476" s="48"/>
    </row>
    <row r="477" ht="32.9" customHeight="true" spans="1:23">
      <c r="A477" s="18" t="s">
        <v>567</v>
      </c>
      <c r="B477" s="155" t="s">
        <v>793</v>
      </c>
      <c r="C477" s="18" t="s">
        <v>792</v>
      </c>
      <c r="D477" s="18" t="s">
        <v>75</v>
      </c>
      <c r="E477" s="18" t="s">
        <v>154</v>
      </c>
      <c r="F477" s="18" t="s">
        <v>569</v>
      </c>
      <c r="G477" s="18" t="s">
        <v>273</v>
      </c>
      <c r="H477" s="18" t="s">
        <v>274</v>
      </c>
      <c r="I477" s="48">
        <v>20000</v>
      </c>
      <c r="J477" s="48"/>
      <c r="K477" s="48"/>
      <c r="L477" s="48"/>
      <c r="M477" s="48"/>
      <c r="N477" s="48">
        <v>20000</v>
      </c>
      <c r="O477" s="48"/>
      <c r="P477" s="48"/>
      <c r="Q477" s="48"/>
      <c r="R477" s="48"/>
      <c r="S477" s="48"/>
      <c r="T477" s="48"/>
      <c r="U477" s="48"/>
      <c r="V477" s="48"/>
      <c r="W477" s="48"/>
    </row>
    <row r="478" ht="32.9" customHeight="true" spans="1:23">
      <c r="A478" s="18"/>
      <c r="B478" s="18"/>
      <c r="C478" s="18" t="s">
        <v>794</v>
      </c>
      <c r="D478" s="18"/>
      <c r="E478" s="18"/>
      <c r="F478" s="18"/>
      <c r="G478" s="18"/>
      <c r="H478" s="18"/>
      <c r="I478" s="48">
        <v>314900</v>
      </c>
      <c r="J478" s="48"/>
      <c r="K478" s="48"/>
      <c r="L478" s="48"/>
      <c r="M478" s="48"/>
      <c r="N478" s="48">
        <v>314900</v>
      </c>
      <c r="O478" s="48"/>
      <c r="P478" s="48"/>
      <c r="Q478" s="48"/>
      <c r="R478" s="48"/>
      <c r="S478" s="48"/>
      <c r="T478" s="48"/>
      <c r="U478" s="48"/>
      <c r="V478" s="48"/>
      <c r="W478" s="48"/>
    </row>
    <row r="479" ht="32.9" customHeight="true" spans="1:23">
      <c r="A479" s="18" t="s">
        <v>567</v>
      </c>
      <c r="B479" s="155" t="s">
        <v>795</v>
      </c>
      <c r="C479" s="18" t="s">
        <v>794</v>
      </c>
      <c r="D479" s="18" t="s">
        <v>75</v>
      </c>
      <c r="E479" s="18" t="s">
        <v>154</v>
      </c>
      <c r="F479" s="18" t="s">
        <v>569</v>
      </c>
      <c r="G479" s="18" t="s">
        <v>625</v>
      </c>
      <c r="H479" s="18" t="s">
        <v>626</v>
      </c>
      <c r="I479" s="48">
        <v>288800</v>
      </c>
      <c r="J479" s="48"/>
      <c r="K479" s="48"/>
      <c r="L479" s="48"/>
      <c r="M479" s="48"/>
      <c r="N479" s="48">
        <v>288800</v>
      </c>
      <c r="O479" s="48"/>
      <c r="P479" s="48"/>
      <c r="Q479" s="48"/>
      <c r="R479" s="48"/>
      <c r="S479" s="48"/>
      <c r="T479" s="48"/>
      <c r="U479" s="48"/>
      <c r="V479" s="48"/>
      <c r="W479" s="48"/>
    </row>
    <row r="480" ht="32.9" customHeight="true" spans="1:23">
      <c r="A480" s="18" t="s">
        <v>567</v>
      </c>
      <c r="B480" s="155" t="s">
        <v>795</v>
      </c>
      <c r="C480" s="18" t="s">
        <v>794</v>
      </c>
      <c r="D480" s="18" t="s">
        <v>75</v>
      </c>
      <c r="E480" s="18" t="s">
        <v>154</v>
      </c>
      <c r="F480" s="18" t="s">
        <v>569</v>
      </c>
      <c r="G480" s="18" t="s">
        <v>316</v>
      </c>
      <c r="H480" s="18" t="s">
        <v>317</v>
      </c>
      <c r="I480" s="48">
        <v>26100</v>
      </c>
      <c r="J480" s="48"/>
      <c r="K480" s="48"/>
      <c r="L480" s="48"/>
      <c r="M480" s="48"/>
      <c r="N480" s="48">
        <v>26100</v>
      </c>
      <c r="O480" s="48"/>
      <c r="P480" s="48"/>
      <c r="Q480" s="48"/>
      <c r="R480" s="48"/>
      <c r="S480" s="48"/>
      <c r="T480" s="48"/>
      <c r="U480" s="48"/>
      <c r="V480" s="48"/>
      <c r="W480" s="48"/>
    </row>
    <row r="481" ht="32.9" customHeight="true" spans="1:23">
      <c r="A481" s="18"/>
      <c r="B481" s="18"/>
      <c r="C481" s="18" t="s">
        <v>796</v>
      </c>
      <c r="D481" s="18"/>
      <c r="E481" s="18"/>
      <c r="F481" s="18"/>
      <c r="G481" s="18"/>
      <c r="H481" s="18"/>
      <c r="I481" s="48">
        <v>1700000</v>
      </c>
      <c r="J481" s="48">
        <v>1700000</v>
      </c>
      <c r="K481" s="48">
        <v>1700000</v>
      </c>
      <c r="L481" s="48"/>
      <c r="M481" s="48"/>
      <c r="N481" s="48"/>
      <c r="O481" s="48"/>
      <c r="P481" s="48"/>
      <c r="Q481" s="48"/>
      <c r="R481" s="48"/>
      <c r="S481" s="48"/>
      <c r="T481" s="48"/>
      <c r="U481" s="48"/>
      <c r="V481" s="48"/>
      <c r="W481" s="48"/>
    </row>
    <row r="482" ht="32.9" customHeight="true" spans="1:23">
      <c r="A482" s="18" t="s">
        <v>567</v>
      </c>
      <c r="B482" s="155" t="s">
        <v>797</v>
      </c>
      <c r="C482" s="18" t="s">
        <v>796</v>
      </c>
      <c r="D482" s="18" t="s">
        <v>75</v>
      </c>
      <c r="E482" s="18" t="s">
        <v>110</v>
      </c>
      <c r="F482" s="18" t="s">
        <v>563</v>
      </c>
      <c r="G482" s="18" t="s">
        <v>277</v>
      </c>
      <c r="H482" s="18" t="s">
        <v>278</v>
      </c>
      <c r="I482" s="48">
        <v>50000</v>
      </c>
      <c r="J482" s="48">
        <v>50000</v>
      </c>
      <c r="K482" s="48">
        <v>50000</v>
      </c>
      <c r="L482" s="48"/>
      <c r="M482" s="48"/>
      <c r="N482" s="48"/>
      <c r="O482" s="48"/>
      <c r="P482" s="48"/>
      <c r="Q482" s="48"/>
      <c r="R482" s="48"/>
      <c r="S482" s="48"/>
      <c r="T482" s="48"/>
      <c r="U482" s="48"/>
      <c r="V482" s="48"/>
      <c r="W482" s="48"/>
    </row>
    <row r="483" ht="32.9" customHeight="true" spans="1:23">
      <c r="A483" s="18" t="s">
        <v>567</v>
      </c>
      <c r="B483" s="155" t="s">
        <v>797</v>
      </c>
      <c r="C483" s="18" t="s">
        <v>796</v>
      </c>
      <c r="D483" s="18" t="s">
        <v>75</v>
      </c>
      <c r="E483" s="18" t="s">
        <v>110</v>
      </c>
      <c r="F483" s="18" t="s">
        <v>563</v>
      </c>
      <c r="G483" s="18" t="s">
        <v>281</v>
      </c>
      <c r="H483" s="18" t="s">
        <v>282</v>
      </c>
      <c r="I483" s="48">
        <v>540000</v>
      </c>
      <c r="J483" s="48">
        <v>540000</v>
      </c>
      <c r="K483" s="48">
        <v>540000</v>
      </c>
      <c r="L483" s="48"/>
      <c r="M483" s="48"/>
      <c r="N483" s="48"/>
      <c r="O483" s="48"/>
      <c r="P483" s="48"/>
      <c r="Q483" s="48"/>
      <c r="R483" s="48"/>
      <c r="S483" s="48"/>
      <c r="T483" s="48"/>
      <c r="U483" s="48"/>
      <c r="V483" s="48"/>
      <c r="W483" s="48"/>
    </row>
    <row r="484" ht="32.9" customHeight="true" spans="1:23">
      <c r="A484" s="18" t="s">
        <v>567</v>
      </c>
      <c r="B484" s="155" t="s">
        <v>797</v>
      </c>
      <c r="C484" s="18" t="s">
        <v>796</v>
      </c>
      <c r="D484" s="18" t="s">
        <v>75</v>
      </c>
      <c r="E484" s="18" t="s">
        <v>110</v>
      </c>
      <c r="F484" s="18" t="s">
        <v>563</v>
      </c>
      <c r="G484" s="18" t="s">
        <v>316</v>
      </c>
      <c r="H484" s="18" t="s">
        <v>317</v>
      </c>
      <c r="I484" s="48">
        <v>180000</v>
      </c>
      <c r="J484" s="48">
        <v>180000</v>
      </c>
      <c r="K484" s="48">
        <v>180000</v>
      </c>
      <c r="L484" s="48"/>
      <c r="M484" s="48"/>
      <c r="N484" s="48"/>
      <c r="O484" s="48"/>
      <c r="P484" s="48"/>
      <c r="Q484" s="48"/>
      <c r="R484" s="48"/>
      <c r="S484" s="48"/>
      <c r="T484" s="48"/>
      <c r="U484" s="48"/>
      <c r="V484" s="48"/>
      <c r="W484" s="48"/>
    </row>
    <row r="485" ht="32.9" customHeight="true" spans="1:23">
      <c r="A485" s="18" t="s">
        <v>567</v>
      </c>
      <c r="B485" s="155" t="s">
        <v>797</v>
      </c>
      <c r="C485" s="18" t="s">
        <v>796</v>
      </c>
      <c r="D485" s="18" t="s">
        <v>75</v>
      </c>
      <c r="E485" s="18" t="s">
        <v>110</v>
      </c>
      <c r="F485" s="18" t="s">
        <v>563</v>
      </c>
      <c r="G485" s="18" t="s">
        <v>283</v>
      </c>
      <c r="H485" s="18" t="s">
        <v>284</v>
      </c>
      <c r="I485" s="48">
        <v>100000</v>
      </c>
      <c r="J485" s="48">
        <v>100000</v>
      </c>
      <c r="K485" s="48">
        <v>100000</v>
      </c>
      <c r="L485" s="48"/>
      <c r="M485" s="48"/>
      <c r="N485" s="48"/>
      <c r="O485" s="48"/>
      <c r="P485" s="48"/>
      <c r="Q485" s="48"/>
      <c r="R485" s="48"/>
      <c r="S485" s="48"/>
      <c r="T485" s="48"/>
      <c r="U485" s="48"/>
      <c r="V485" s="48"/>
      <c r="W485" s="48"/>
    </row>
    <row r="486" ht="32.9" customHeight="true" spans="1:23">
      <c r="A486" s="18" t="s">
        <v>567</v>
      </c>
      <c r="B486" s="155" t="s">
        <v>797</v>
      </c>
      <c r="C486" s="18" t="s">
        <v>796</v>
      </c>
      <c r="D486" s="18" t="s">
        <v>75</v>
      </c>
      <c r="E486" s="18" t="s">
        <v>110</v>
      </c>
      <c r="F486" s="18" t="s">
        <v>563</v>
      </c>
      <c r="G486" s="18" t="s">
        <v>629</v>
      </c>
      <c r="H486" s="18" t="s">
        <v>630</v>
      </c>
      <c r="I486" s="48">
        <v>830000</v>
      </c>
      <c r="J486" s="48">
        <v>830000</v>
      </c>
      <c r="K486" s="48">
        <v>830000</v>
      </c>
      <c r="L486" s="48"/>
      <c r="M486" s="48"/>
      <c r="N486" s="48"/>
      <c r="O486" s="48"/>
      <c r="P486" s="48"/>
      <c r="Q486" s="48"/>
      <c r="R486" s="48"/>
      <c r="S486" s="48"/>
      <c r="T486" s="48"/>
      <c r="U486" s="48"/>
      <c r="V486" s="48"/>
      <c r="W486" s="48"/>
    </row>
    <row r="487" ht="32.9" customHeight="true" spans="1:23">
      <c r="A487" s="18"/>
      <c r="B487" s="18"/>
      <c r="C487" s="18" t="s">
        <v>798</v>
      </c>
      <c r="D487" s="18"/>
      <c r="E487" s="18"/>
      <c r="F487" s="18"/>
      <c r="G487" s="18"/>
      <c r="H487" s="18"/>
      <c r="I487" s="48">
        <v>266045166</v>
      </c>
      <c r="J487" s="48"/>
      <c r="K487" s="48"/>
      <c r="L487" s="48"/>
      <c r="M487" s="48"/>
      <c r="N487" s="48"/>
      <c r="O487" s="48"/>
      <c r="P487" s="48"/>
      <c r="Q487" s="48"/>
      <c r="R487" s="48">
        <v>266045166</v>
      </c>
      <c r="S487" s="48">
        <v>266045166</v>
      </c>
      <c r="T487" s="48"/>
      <c r="U487" s="48"/>
      <c r="V487" s="48"/>
      <c r="W487" s="48"/>
    </row>
    <row r="488" ht="32.9" customHeight="true" spans="1:23">
      <c r="A488" s="18" t="s">
        <v>559</v>
      </c>
      <c r="B488" s="155" t="s">
        <v>799</v>
      </c>
      <c r="C488" s="18" t="s">
        <v>798</v>
      </c>
      <c r="D488" s="18" t="s">
        <v>77</v>
      </c>
      <c r="E488" s="18" t="s">
        <v>129</v>
      </c>
      <c r="F488" s="18" t="s">
        <v>448</v>
      </c>
      <c r="G488" s="18" t="s">
        <v>275</v>
      </c>
      <c r="H488" s="18" t="s">
        <v>276</v>
      </c>
      <c r="I488" s="48">
        <v>125100</v>
      </c>
      <c r="J488" s="48"/>
      <c r="K488" s="48"/>
      <c r="L488" s="48"/>
      <c r="M488" s="48"/>
      <c r="N488" s="48"/>
      <c r="O488" s="48"/>
      <c r="P488" s="48"/>
      <c r="Q488" s="48"/>
      <c r="R488" s="48">
        <v>125100</v>
      </c>
      <c r="S488" s="48">
        <v>125100</v>
      </c>
      <c r="T488" s="48"/>
      <c r="U488" s="48"/>
      <c r="V488" s="48"/>
      <c r="W488" s="48"/>
    </row>
    <row r="489" ht="32.9" customHeight="true" spans="1:23">
      <c r="A489" s="18" t="s">
        <v>559</v>
      </c>
      <c r="B489" s="155" t="s">
        <v>799</v>
      </c>
      <c r="C489" s="18" t="s">
        <v>798</v>
      </c>
      <c r="D489" s="18" t="s">
        <v>77</v>
      </c>
      <c r="E489" s="18" t="s">
        <v>129</v>
      </c>
      <c r="F489" s="18" t="s">
        <v>448</v>
      </c>
      <c r="G489" s="18" t="s">
        <v>341</v>
      </c>
      <c r="H489" s="18" t="s">
        <v>342</v>
      </c>
      <c r="I489" s="48">
        <v>400000</v>
      </c>
      <c r="J489" s="48"/>
      <c r="K489" s="48"/>
      <c r="L489" s="48"/>
      <c r="M489" s="48"/>
      <c r="N489" s="48"/>
      <c r="O489" s="48"/>
      <c r="P489" s="48"/>
      <c r="Q489" s="48"/>
      <c r="R489" s="48">
        <v>400000</v>
      </c>
      <c r="S489" s="48">
        <v>400000</v>
      </c>
      <c r="T489" s="48"/>
      <c r="U489" s="48"/>
      <c r="V489" s="48"/>
      <c r="W489" s="48"/>
    </row>
    <row r="490" ht="32.9" customHeight="true" spans="1:23">
      <c r="A490" s="18" t="s">
        <v>559</v>
      </c>
      <c r="B490" s="155" t="s">
        <v>799</v>
      </c>
      <c r="C490" s="18" t="s">
        <v>798</v>
      </c>
      <c r="D490" s="18" t="s">
        <v>77</v>
      </c>
      <c r="E490" s="18" t="s">
        <v>129</v>
      </c>
      <c r="F490" s="18" t="s">
        <v>448</v>
      </c>
      <c r="G490" s="18" t="s">
        <v>308</v>
      </c>
      <c r="H490" s="18" t="s">
        <v>309</v>
      </c>
      <c r="I490" s="48">
        <v>930000</v>
      </c>
      <c r="J490" s="48"/>
      <c r="K490" s="48"/>
      <c r="L490" s="48"/>
      <c r="M490" s="48"/>
      <c r="N490" s="48"/>
      <c r="O490" s="48"/>
      <c r="P490" s="48"/>
      <c r="Q490" s="48"/>
      <c r="R490" s="48">
        <v>930000</v>
      </c>
      <c r="S490" s="48">
        <v>930000</v>
      </c>
      <c r="T490" s="48"/>
      <c r="U490" s="48"/>
      <c r="V490" s="48"/>
      <c r="W490" s="48"/>
    </row>
    <row r="491" ht="32.9" customHeight="true" spans="1:23">
      <c r="A491" s="18" t="s">
        <v>559</v>
      </c>
      <c r="B491" s="155" t="s">
        <v>799</v>
      </c>
      <c r="C491" s="18" t="s">
        <v>798</v>
      </c>
      <c r="D491" s="18" t="s">
        <v>77</v>
      </c>
      <c r="E491" s="18" t="s">
        <v>129</v>
      </c>
      <c r="F491" s="18" t="s">
        <v>448</v>
      </c>
      <c r="G491" s="18" t="s">
        <v>310</v>
      </c>
      <c r="H491" s="18" t="s">
        <v>311</v>
      </c>
      <c r="I491" s="48">
        <v>2000000</v>
      </c>
      <c r="J491" s="48"/>
      <c r="K491" s="48"/>
      <c r="L491" s="48"/>
      <c r="M491" s="48"/>
      <c r="N491" s="48"/>
      <c r="O491" s="48"/>
      <c r="P491" s="48"/>
      <c r="Q491" s="48"/>
      <c r="R491" s="48">
        <v>2000000</v>
      </c>
      <c r="S491" s="48">
        <v>2000000</v>
      </c>
      <c r="T491" s="48"/>
      <c r="U491" s="48"/>
      <c r="V491" s="48"/>
      <c r="W491" s="48"/>
    </row>
    <row r="492" ht="32.9" customHeight="true" spans="1:23">
      <c r="A492" s="18" t="s">
        <v>559</v>
      </c>
      <c r="B492" s="155" t="s">
        <v>799</v>
      </c>
      <c r="C492" s="18" t="s">
        <v>798</v>
      </c>
      <c r="D492" s="18" t="s">
        <v>77</v>
      </c>
      <c r="E492" s="18" t="s">
        <v>129</v>
      </c>
      <c r="F492" s="18" t="s">
        <v>448</v>
      </c>
      <c r="G492" s="18" t="s">
        <v>312</v>
      </c>
      <c r="H492" s="18" t="s">
        <v>313</v>
      </c>
      <c r="I492" s="48">
        <v>90000</v>
      </c>
      <c r="J492" s="48"/>
      <c r="K492" s="48"/>
      <c r="L492" s="48"/>
      <c r="M492" s="48"/>
      <c r="N492" s="48"/>
      <c r="O492" s="48"/>
      <c r="P492" s="48"/>
      <c r="Q492" s="48"/>
      <c r="R492" s="48">
        <v>90000</v>
      </c>
      <c r="S492" s="48">
        <v>90000</v>
      </c>
      <c r="T492" s="48"/>
      <c r="U492" s="48"/>
      <c r="V492" s="48"/>
      <c r="W492" s="48"/>
    </row>
    <row r="493" ht="32.9" customHeight="true" spans="1:23">
      <c r="A493" s="18" t="s">
        <v>559</v>
      </c>
      <c r="B493" s="155" t="s">
        <v>799</v>
      </c>
      <c r="C493" s="18" t="s">
        <v>798</v>
      </c>
      <c r="D493" s="18" t="s">
        <v>77</v>
      </c>
      <c r="E493" s="18" t="s">
        <v>129</v>
      </c>
      <c r="F493" s="18" t="s">
        <v>448</v>
      </c>
      <c r="G493" s="18" t="s">
        <v>331</v>
      </c>
      <c r="H493" s="18" t="s">
        <v>330</v>
      </c>
      <c r="I493" s="48">
        <v>4818404</v>
      </c>
      <c r="J493" s="48"/>
      <c r="K493" s="48"/>
      <c r="L493" s="48"/>
      <c r="M493" s="48"/>
      <c r="N493" s="48"/>
      <c r="O493" s="48"/>
      <c r="P493" s="48"/>
      <c r="Q493" s="48"/>
      <c r="R493" s="48">
        <v>4818404</v>
      </c>
      <c r="S493" s="48">
        <v>4818404</v>
      </c>
      <c r="T493" s="48"/>
      <c r="U493" s="48"/>
      <c r="V493" s="48"/>
      <c r="W493" s="48"/>
    </row>
    <row r="494" ht="32.9" customHeight="true" spans="1:23">
      <c r="A494" s="18" t="s">
        <v>559</v>
      </c>
      <c r="B494" s="155" t="s">
        <v>799</v>
      </c>
      <c r="C494" s="18" t="s">
        <v>798</v>
      </c>
      <c r="D494" s="18" t="s">
        <v>77</v>
      </c>
      <c r="E494" s="18" t="s">
        <v>129</v>
      </c>
      <c r="F494" s="18" t="s">
        <v>448</v>
      </c>
      <c r="G494" s="18" t="s">
        <v>277</v>
      </c>
      <c r="H494" s="18" t="s">
        <v>278</v>
      </c>
      <c r="I494" s="48">
        <v>250000</v>
      </c>
      <c r="J494" s="48"/>
      <c r="K494" s="48"/>
      <c r="L494" s="48"/>
      <c r="M494" s="48"/>
      <c r="N494" s="48"/>
      <c r="O494" s="48"/>
      <c r="P494" s="48"/>
      <c r="Q494" s="48"/>
      <c r="R494" s="48">
        <v>250000</v>
      </c>
      <c r="S494" s="48">
        <v>250000</v>
      </c>
      <c r="T494" s="48"/>
      <c r="U494" s="48"/>
      <c r="V494" s="48"/>
      <c r="W494" s="48"/>
    </row>
    <row r="495" ht="32.9" customHeight="true" spans="1:23">
      <c r="A495" s="18" t="s">
        <v>559</v>
      </c>
      <c r="B495" s="155" t="s">
        <v>799</v>
      </c>
      <c r="C495" s="18" t="s">
        <v>798</v>
      </c>
      <c r="D495" s="18" t="s">
        <v>77</v>
      </c>
      <c r="E495" s="18" t="s">
        <v>129</v>
      </c>
      <c r="F495" s="18" t="s">
        <v>448</v>
      </c>
      <c r="G495" s="18" t="s">
        <v>314</v>
      </c>
      <c r="H495" s="18" t="s">
        <v>315</v>
      </c>
      <c r="I495" s="48">
        <v>8130100</v>
      </c>
      <c r="J495" s="48"/>
      <c r="K495" s="48"/>
      <c r="L495" s="48"/>
      <c r="M495" s="48"/>
      <c r="N495" s="48"/>
      <c r="O495" s="48"/>
      <c r="P495" s="48"/>
      <c r="Q495" s="48"/>
      <c r="R495" s="48">
        <v>8130100</v>
      </c>
      <c r="S495" s="48">
        <v>8130100</v>
      </c>
      <c r="T495" s="48"/>
      <c r="U495" s="48"/>
      <c r="V495" s="48"/>
      <c r="W495" s="48"/>
    </row>
    <row r="496" ht="32.9" customHeight="true" spans="1:23">
      <c r="A496" s="18" t="s">
        <v>559</v>
      </c>
      <c r="B496" s="155" t="s">
        <v>799</v>
      </c>
      <c r="C496" s="18" t="s">
        <v>798</v>
      </c>
      <c r="D496" s="18" t="s">
        <v>77</v>
      </c>
      <c r="E496" s="18" t="s">
        <v>129</v>
      </c>
      <c r="F496" s="18" t="s">
        <v>448</v>
      </c>
      <c r="G496" s="18" t="s">
        <v>328</v>
      </c>
      <c r="H496" s="18" t="s">
        <v>327</v>
      </c>
      <c r="I496" s="48">
        <v>3890000</v>
      </c>
      <c r="J496" s="48"/>
      <c r="K496" s="48"/>
      <c r="L496" s="48"/>
      <c r="M496" s="48"/>
      <c r="N496" s="48"/>
      <c r="O496" s="48"/>
      <c r="P496" s="48"/>
      <c r="Q496" s="48"/>
      <c r="R496" s="48">
        <v>3890000</v>
      </c>
      <c r="S496" s="48">
        <v>3890000</v>
      </c>
      <c r="T496" s="48"/>
      <c r="U496" s="48"/>
      <c r="V496" s="48"/>
      <c r="W496" s="48"/>
    </row>
    <row r="497" ht="32.9" customHeight="true" spans="1:23">
      <c r="A497" s="18" t="s">
        <v>559</v>
      </c>
      <c r="B497" s="155" t="s">
        <v>799</v>
      </c>
      <c r="C497" s="18" t="s">
        <v>798</v>
      </c>
      <c r="D497" s="18" t="s">
        <v>77</v>
      </c>
      <c r="E497" s="18" t="s">
        <v>129</v>
      </c>
      <c r="F497" s="18" t="s">
        <v>448</v>
      </c>
      <c r="G497" s="18" t="s">
        <v>279</v>
      </c>
      <c r="H497" s="18" t="s">
        <v>280</v>
      </c>
      <c r="I497" s="48">
        <v>20000</v>
      </c>
      <c r="J497" s="48"/>
      <c r="K497" s="48"/>
      <c r="L497" s="48"/>
      <c r="M497" s="48"/>
      <c r="N497" s="48"/>
      <c r="O497" s="48"/>
      <c r="P497" s="48"/>
      <c r="Q497" s="48"/>
      <c r="R497" s="48">
        <v>20000</v>
      </c>
      <c r="S497" s="48">
        <v>20000</v>
      </c>
      <c r="T497" s="48"/>
      <c r="U497" s="48"/>
      <c r="V497" s="48"/>
      <c r="W497" s="48"/>
    </row>
    <row r="498" ht="32.9" customHeight="true" spans="1:23">
      <c r="A498" s="18" t="s">
        <v>559</v>
      </c>
      <c r="B498" s="155" t="s">
        <v>799</v>
      </c>
      <c r="C498" s="18" t="s">
        <v>798</v>
      </c>
      <c r="D498" s="18" t="s">
        <v>77</v>
      </c>
      <c r="E498" s="18" t="s">
        <v>129</v>
      </c>
      <c r="F498" s="18" t="s">
        <v>448</v>
      </c>
      <c r="G498" s="18" t="s">
        <v>281</v>
      </c>
      <c r="H498" s="18" t="s">
        <v>282</v>
      </c>
      <c r="I498" s="48">
        <v>2579487</v>
      </c>
      <c r="J498" s="48"/>
      <c r="K498" s="48"/>
      <c r="L498" s="48"/>
      <c r="M498" s="48"/>
      <c r="N498" s="48"/>
      <c r="O498" s="48"/>
      <c r="P498" s="48"/>
      <c r="Q498" s="48"/>
      <c r="R498" s="48">
        <v>2579487</v>
      </c>
      <c r="S498" s="48">
        <v>2579487</v>
      </c>
      <c r="T498" s="48"/>
      <c r="U498" s="48"/>
      <c r="V498" s="48"/>
      <c r="W498" s="48"/>
    </row>
    <row r="499" ht="32.9" customHeight="true" spans="1:23">
      <c r="A499" s="18" t="s">
        <v>559</v>
      </c>
      <c r="B499" s="155" t="s">
        <v>799</v>
      </c>
      <c r="C499" s="18" t="s">
        <v>798</v>
      </c>
      <c r="D499" s="18" t="s">
        <v>77</v>
      </c>
      <c r="E499" s="18" t="s">
        <v>129</v>
      </c>
      <c r="F499" s="18" t="s">
        <v>448</v>
      </c>
      <c r="G499" s="18" t="s">
        <v>290</v>
      </c>
      <c r="H499" s="18" t="s">
        <v>193</v>
      </c>
      <c r="I499" s="48">
        <v>20000</v>
      </c>
      <c r="J499" s="48"/>
      <c r="K499" s="48"/>
      <c r="L499" s="48"/>
      <c r="M499" s="48"/>
      <c r="N499" s="48"/>
      <c r="O499" s="48"/>
      <c r="P499" s="48"/>
      <c r="Q499" s="48"/>
      <c r="R499" s="48">
        <v>20000</v>
      </c>
      <c r="S499" s="48">
        <v>20000</v>
      </c>
      <c r="T499" s="48"/>
      <c r="U499" s="48"/>
      <c r="V499" s="48"/>
      <c r="W499" s="48"/>
    </row>
    <row r="500" ht="32.9" customHeight="true" spans="1:23">
      <c r="A500" s="18" t="s">
        <v>559</v>
      </c>
      <c r="B500" s="155" t="s">
        <v>799</v>
      </c>
      <c r="C500" s="18" t="s">
        <v>798</v>
      </c>
      <c r="D500" s="18" t="s">
        <v>77</v>
      </c>
      <c r="E500" s="18" t="s">
        <v>129</v>
      </c>
      <c r="F500" s="18" t="s">
        <v>448</v>
      </c>
      <c r="G500" s="18" t="s">
        <v>625</v>
      </c>
      <c r="H500" s="18" t="s">
        <v>626</v>
      </c>
      <c r="I500" s="48">
        <v>155126000</v>
      </c>
      <c r="J500" s="48"/>
      <c r="K500" s="48"/>
      <c r="L500" s="48"/>
      <c r="M500" s="48"/>
      <c r="N500" s="48"/>
      <c r="O500" s="48"/>
      <c r="P500" s="48"/>
      <c r="Q500" s="48"/>
      <c r="R500" s="48">
        <v>155126000</v>
      </c>
      <c r="S500" s="48">
        <v>155126000</v>
      </c>
      <c r="T500" s="48"/>
      <c r="U500" s="48"/>
      <c r="V500" s="48"/>
      <c r="W500" s="48"/>
    </row>
    <row r="501" ht="32.9" customHeight="true" spans="1:23">
      <c r="A501" s="18" t="s">
        <v>559</v>
      </c>
      <c r="B501" s="155" t="s">
        <v>799</v>
      </c>
      <c r="C501" s="18" t="s">
        <v>798</v>
      </c>
      <c r="D501" s="18" t="s">
        <v>77</v>
      </c>
      <c r="E501" s="18" t="s">
        <v>129</v>
      </c>
      <c r="F501" s="18" t="s">
        <v>448</v>
      </c>
      <c r="G501" s="18" t="s">
        <v>316</v>
      </c>
      <c r="H501" s="18" t="s">
        <v>317</v>
      </c>
      <c r="I501" s="48">
        <v>654400</v>
      </c>
      <c r="J501" s="48"/>
      <c r="K501" s="48"/>
      <c r="L501" s="48"/>
      <c r="M501" s="48"/>
      <c r="N501" s="48"/>
      <c r="O501" s="48"/>
      <c r="P501" s="48"/>
      <c r="Q501" s="48"/>
      <c r="R501" s="48">
        <v>654400</v>
      </c>
      <c r="S501" s="48">
        <v>654400</v>
      </c>
      <c r="T501" s="48"/>
      <c r="U501" s="48"/>
      <c r="V501" s="48"/>
      <c r="W501" s="48"/>
    </row>
    <row r="502" ht="32.9" customHeight="true" spans="1:23">
      <c r="A502" s="18" t="s">
        <v>559</v>
      </c>
      <c r="B502" s="155" t="s">
        <v>799</v>
      </c>
      <c r="C502" s="18" t="s">
        <v>798</v>
      </c>
      <c r="D502" s="18" t="s">
        <v>77</v>
      </c>
      <c r="E502" s="18" t="s">
        <v>129</v>
      </c>
      <c r="F502" s="18" t="s">
        <v>448</v>
      </c>
      <c r="G502" s="18" t="s">
        <v>283</v>
      </c>
      <c r="H502" s="18" t="s">
        <v>284</v>
      </c>
      <c r="I502" s="48">
        <v>96000</v>
      </c>
      <c r="J502" s="48"/>
      <c r="K502" s="48"/>
      <c r="L502" s="48"/>
      <c r="M502" s="48"/>
      <c r="N502" s="48"/>
      <c r="O502" s="48"/>
      <c r="P502" s="48"/>
      <c r="Q502" s="48"/>
      <c r="R502" s="48">
        <v>96000</v>
      </c>
      <c r="S502" s="48">
        <v>96000</v>
      </c>
      <c r="T502" s="48"/>
      <c r="U502" s="48"/>
      <c r="V502" s="48"/>
      <c r="W502" s="48"/>
    </row>
    <row r="503" ht="32.9" customHeight="true" spans="1:23">
      <c r="A503" s="18" t="s">
        <v>559</v>
      </c>
      <c r="B503" s="155" t="s">
        <v>799</v>
      </c>
      <c r="C503" s="18" t="s">
        <v>798</v>
      </c>
      <c r="D503" s="18" t="s">
        <v>77</v>
      </c>
      <c r="E503" s="18" t="s">
        <v>129</v>
      </c>
      <c r="F503" s="18" t="s">
        <v>448</v>
      </c>
      <c r="G503" s="18" t="s">
        <v>270</v>
      </c>
      <c r="H503" s="18" t="s">
        <v>269</v>
      </c>
      <c r="I503" s="48">
        <v>1150000</v>
      </c>
      <c r="J503" s="48"/>
      <c r="K503" s="48"/>
      <c r="L503" s="48"/>
      <c r="M503" s="48"/>
      <c r="N503" s="48"/>
      <c r="O503" s="48"/>
      <c r="P503" s="48"/>
      <c r="Q503" s="48"/>
      <c r="R503" s="48">
        <v>1150000</v>
      </c>
      <c r="S503" s="48">
        <v>1150000</v>
      </c>
      <c r="T503" s="48"/>
      <c r="U503" s="48"/>
      <c r="V503" s="48"/>
      <c r="W503" s="48"/>
    </row>
    <row r="504" ht="32.9" customHeight="true" spans="1:23">
      <c r="A504" s="18" t="s">
        <v>559</v>
      </c>
      <c r="B504" s="155" t="s">
        <v>799</v>
      </c>
      <c r="C504" s="18" t="s">
        <v>798</v>
      </c>
      <c r="D504" s="18" t="s">
        <v>77</v>
      </c>
      <c r="E504" s="18" t="s">
        <v>129</v>
      </c>
      <c r="F504" s="18" t="s">
        <v>448</v>
      </c>
      <c r="G504" s="18" t="s">
        <v>285</v>
      </c>
      <c r="H504" s="18" t="s">
        <v>286</v>
      </c>
      <c r="I504" s="48">
        <v>1370000</v>
      </c>
      <c r="J504" s="48"/>
      <c r="K504" s="48"/>
      <c r="L504" s="48"/>
      <c r="M504" s="48"/>
      <c r="N504" s="48"/>
      <c r="O504" s="48"/>
      <c r="P504" s="48"/>
      <c r="Q504" s="48"/>
      <c r="R504" s="48">
        <v>1370000</v>
      </c>
      <c r="S504" s="48">
        <v>1370000</v>
      </c>
      <c r="T504" s="48"/>
      <c r="U504" s="48"/>
      <c r="V504" s="48"/>
      <c r="W504" s="48"/>
    </row>
    <row r="505" ht="32.9" customHeight="true" spans="1:23">
      <c r="A505" s="18" t="s">
        <v>559</v>
      </c>
      <c r="B505" s="155" t="s">
        <v>799</v>
      </c>
      <c r="C505" s="18" t="s">
        <v>798</v>
      </c>
      <c r="D505" s="18" t="s">
        <v>77</v>
      </c>
      <c r="E505" s="18" t="s">
        <v>129</v>
      </c>
      <c r="F505" s="18" t="s">
        <v>448</v>
      </c>
      <c r="G505" s="18" t="s">
        <v>262</v>
      </c>
      <c r="H505" s="18" t="s">
        <v>263</v>
      </c>
      <c r="I505" s="48">
        <v>150000</v>
      </c>
      <c r="J505" s="48"/>
      <c r="K505" s="48"/>
      <c r="L505" s="48"/>
      <c r="M505" s="48"/>
      <c r="N505" s="48"/>
      <c r="O505" s="48"/>
      <c r="P505" s="48"/>
      <c r="Q505" s="48"/>
      <c r="R505" s="48">
        <v>150000</v>
      </c>
      <c r="S505" s="48">
        <v>150000</v>
      </c>
      <c r="T505" s="48"/>
      <c r="U505" s="48"/>
      <c r="V505" s="48"/>
      <c r="W505" s="48"/>
    </row>
    <row r="506" ht="32.9" customHeight="true" spans="1:23">
      <c r="A506" s="18" t="s">
        <v>559</v>
      </c>
      <c r="B506" s="155" t="s">
        <v>799</v>
      </c>
      <c r="C506" s="18" t="s">
        <v>798</v>
      </c>
      <c r="D506" s="18" t="s">
        <v>77</v>
      </c>
      <c r="E506" s="18" t="s">
        <v>129</v>
      </c>
      <c r="F506" s="18" t="s">
        <v>448</v>
      </c>
      <c r="G506" s="18" t="s">
        <v>266</v>
      </c>
      <c r="H506" s="18" t="s">
        <v>267</v>
      </c>
      <c r="I506" s="48">
        <v>25000</v>
      </c>
      <c r="J506" s="48"/>
      <c r="K506" s="48"/>
      <c r="L506" s="48"/>
      <c r="M506" s="48"/>
      <c r="N506" s="48"/>
      <c r="O506" s="48"/>
      <c r="P506" s="48"/>
      <c r="Q506" s="48"/>
      <c r="R506" s="48">
        <v>25000</v>
      </c>
      <c r="S506" s="48">
        <v>25000</v>
      </c>
      <c r="T506" s="48"/>
      <c r="U506" s="48"/>
      <c r="V506" s="48"/>
      <c r="W506" s="48"/>
    </row>
    <row r="507" ht="32.9" customHeight="true" spans="1:23">
      <c r="A507" s="18" t="s">
        <v>559</v>
      </c>
      <c r="B507" s="155" t="s">
        <v>799</v>
      </c>
      <c r="C507" s="18" t="s">
        <v>798</v>
      </c>
      <c r="D507" s="18" t="s">
        <v>77</v>
      </c>
      <c r="E507" s="18" t="s">
        <v>129</v>
      </c>
      <c r="F507" s="18" t="s">
        <v>448</v>
      </c>
      <c r="G507" s="18" t="s">
        <v>746</v>
      </c>
      <c r="H507" s="18" t="s">
        <v>747</v>
      </c>
      <c r="I507" s="48">
        <v>60000</v>
      </c>
      <c r="J507" s="48"/>
      <c r="K507" s="48"/>
      <c r="L507" s="48"/>
      <c r="M507" s="48"/>
      <c r="N507" s="48"/>
      <c r="O507" s="48"/>
      <c r="P507" s="48"/>
      <c r="Q507" s="48"/>
      <c r="R507" s="48">
        <v>60000</v>
      </c>
      <c r="S507" s="48">
        <v>60000</v>
      </c>
      <c r="T507" s="48"/>
      <c r="U507" s="48"/>
      <c r="V507" s="48"/>
      <c r="W507" s="48"/>
    </row>
    <row r="508" ht="32.9" customHeight="true" spans="1:23">
      <c r="A508" s="18" t="s">
        <v>559</v>
      </c>
      <c r="B508" s="155" t="s">
        <v>799</v>
      </c>
      <c r="C508" s="18" t="s">
        <v>798</v>
      </c>
      <c r="D508" s="18" t="s">
        <v>77</v>
      </c>
      <c r="E508" s="18" t="s">
        <v>129</v>
      </c>
      <c r="F508" s="18" t="s">
        <v>448</v>
      </c>
      <c r="G508" s="18" t="s">
        <v>273</v>
      </c>
      <c r="H508" s="18" t="s">
        <v>274</v>
      </c>
      <c r="I508" s="48">
        <v>17346475</v>
      </c>
      <c r="J508" s="48"/>
      <c r="K508" s="48"/>
      <c r="L508" s="48"/>
      <c r="M508" s="48"/>
      <c r="N508" s="48"/>
      <c r="O508" s="48"/>
      <c r="P508" s="48"/>
      <c r="Q508" s="48"/>
      <c r="R508" s="48">
        <v>17346475</v>
      </c>
      <c r="S508" s="48">
        <v>17346475</v>
      </c>
      <c r="T508" s="48"/>
      <c r="U508" s="48"/>
      <c r="V508" s="48"/>
      <c r="W508" s="48"/>
    </row>
    <row r="509" ht="32.9" customHeight="true" spans="1:23">
      <c r="A509" s="18" t="s">
        <v>559</v>
      </c>
      <c r="B509" s="155" t="s">
        <v>799</v>
      </c>
      <c r="C509" s="18" t="s">
        <v>798</v>
      </c>
      <c r="D509" s="18" t="s">
        <v>77</v>
      </c>
      <c r="E509" s="18" t="s">
        <v>129</v>
      </c>
      <c r="F509" s="18" t="s">
        <v>448</v>
      </c>
      <c r="G509" s="18" t="s">
        <v>800</v>
      </c>
      <c r="H509" s="18" t="s">
        <v>729</v>
      </c>
      <c r="I509" s="48">
        <v>15000000</v>
      </c>
      <c r="J509" s="48"/>
      <c r="K509" s="48"/>
      <c r="L509" s="48"/>
      <c r="M509" s="48"/>
      <c r="N509" s="48"/>
      <c r="O509" s="48"/>
      <c r="P509" s="48"/>
      <c r="Q509" s="48"/>
      <c r="R509" s="48">
        <v>15000000</v>
      </c>
      <c r="S509" s="48">
        <v>15000000</v>
      </c>
      <c r="T509" s="48"/>
      <c r="U509" s="48"/>
      <c r="V509" s="48"/>
      <c r="W509" s="48"/>
    </row>
    <row r="510" ht="32.9" customHeight="true" spans="1:23">
      <c r="A510" s="18" t="s">
        <v>559</v>
      </c>
      <c r="B510" s="155" t="s">
        <v>799</v>
      </c>
      <c r="C510" s="18" t="s">
        <v>798</v>
      </c>
      <c r="D510" s="18" t="s">
        <v>77</v>
      </c>
      <c r="E510" s="18" t="s">
        <v>129</v>
      </c>
      <c r="F510" s="18" t="s">
        <v>448</v>
      </c>
      <c r="G510" s="18" t="s">
        <v>287</v>
      </c>
      <c r="H510" s="18" t="s">
        <v>288</v>
      </c>
      <c r="I510" s="48">
        <v>1914200</v>
      </c>
      <c r="J510" s="48"/>
      <c r="K510" s="48"/>
      <c r="L510" s="48"/>
      <c r="M510" s="48"/>
      <c r="N510" s="48"/>
      <c r="O510" s="48"/>
      <c r="P510" s="48"/>
      <c r="Q510" s="48"/>
      <c r="R510" s="48">
        <v>1914200</v>
      </c>
      <c r="S510" s="48">
        <v>1914200</v>
      </c>
      <c r="T510" s="48"/>
      <c r="U510" s="48"/>
      <c r="V510" s="48"/>
      <c r="W510" s="48"/>
    </row>
    <row r="511" ht="32.9" customHeight="true" spans="1:23">
      <c r="A511" s="18" t="s">
        <v>559</v>
      </c>
      <c r="B511" s="155" t="s">
        <v>799</v>
      </c>
      <c r="C511" s="18" t="s">
        <v>798</v>
      </c>
      <c r="D511" s="18" t="s">
        <v>77</v>
      </c>
      <c r="E511" s="18" t="s">
        <v>129</v>
      </c>
      <c r="F511" s="18" t="s">
        <v>448</v>
      </c>
      <c r="G511" s="18" t="s">
        <v>629</v>
      </c>
      <c r="H511" s="18" t="s">
        <v>630</v>
      </c>
      <c r="I511" s="48">
        <v>36200000</v>
      </c>
      <c r="J511" s="48"/>
      <c r="K511" s="48"/>
      <c r="L511" s="48"/>
      <c r="M511" s="48"/>
      <c r="N511" s="48"/>
      <c r="O511" s="48"/>
      <c r="P511" s="48"/>
      <c r="Q511" s="48"/>
      <c r="R511" s="48">
        <v>36200000</v>
      </c>
      <c r="S511" s="48">
        <v>36200000</v>
      </c>
      <c r="T511" s="48"/>
      <c r="U511" s="48"/>
      <c r="V511" s="48"/>
      <c r="W511" s="48"/>
    </row>
    <row r="512" ht="32.9" customHeight="true" spans="1:23">
      <c r="A512" s="18" t="s">
        <v>559</v>
      </c>
      <c r="B512" s="155" t="s">
        <v>799</v>
      </c>
      <c r="C512" s="18" t="s">
        <v>798</v>
      </c>
      <c r="D512" s="18" t="s">
        <v>77</v>
      </c>
      <c r="E512" s="18" t="s">
        <v>129</v>
      </c>
      <c r="F512" s="18" t="s">
        <v>448</v>
      </c>
      <c r="G512" s="18" t="s">
        <v>801</v>
      </c>
      <c r="H512" s="18" t="s">
        <v>802</v>
      </c>
      <c r="I512" s="48">
        <v>8000000</v>
      </c>
      <c r="J512" s="48"/>
      <c r="K512" s="48"/>
      <c r="L512" s="48"/>
      <c r="M512" s="48"/>
      <c r="N512" s="48"/>
      <c r="O512" s="48"/>
      <c r="P512" s="48"/>
      <c r="Q512" s="48"/>
      <c r="R512" s="48">
        <v>8000000</v>
      </c>
      <c r="S512" s="48">
        <v>8000000</v>
      </c>
      <c r="T512" s="48"/>
      <c r="U512" s="48"/>
      <c r="V512" s="48"/>
      <c r="W512" s="48"/>
    </row>
    <row r="513" ht="32.9" customHeight="true" spans="1:23">
      <c r="A513" s="18" t="s">
        <v>559</v>
      </c>
      <c r="B513" s="155" t="s">
        <v>799</v>
      </c>
      <c r="C513" s="18" t="s">
        <v>798</v>
      </c>
      <c r="D513" s="18" t="s">
        <v>77</v>
      </c>
      <c r="E513" s="18" t="s">
        <v>129</v>
      </c>
      <c r="F513" s="18" t="s">
        <v>448</v>
      </c>
      <c r="G513" s="18" t="s">
        <v>631</v>
      </c>
      <c r="H513" s="18" t="s">
        <v>632</v>
      </c>
      <c r="I513" s="48">
        <v>5600000</v>
      </c>
      <c r="J513" s="48"/>
      <c r="K513" s="48"/>
      <c r="L513" s="48"/>
      <c r="M513" s="48"/>
      <c r="N513" s="48"/>
      <c r="O513" s="48"/>
      <c r="P513" s="48"/>
      <c r="Q513" s="48"/>
      <c r="R513" s="48">
        <v>5600000</v>
      </c>
      <c r="S513" s="48">
        <v>5600000</v>
      </c>
      <c r="T513" s="48"/>
      <c r="U513" s="48"/>
      <c r="V513" s="48"/>
      <c r="W513" s="48"/>
    </row>
    <row r="514" ht="32.9" customHeight="true" spans="1:23">
      <c r="A514" s="18" t="s">
        <v>559</v>
      </c>
      <c r="B514" s="155" t="s">
        <v>799</v>
      </c>
      <c r="C514" s="18" t="s">
        <v>798</v>
      </c>
      <c r="D514" s="18" t="s">
        <v>77</v>
      </c>
      <c r="E514" s="18" t="s">
        <v>129</v>
      </c>
      <c r="F514" s="18" t="s">
        <v>448</v>
      </c>
      <c r="G514" s="18" t="s">
        <v>749</v>
      </c>
      <c r="H514" s="18" t="s">
        <v>750</v>
      </c>
      <c r="I514" s="48">
        <v>100000</v>
      </c>
      <c r="J514" s="48"/>
      <c r="K514" s="48"/>
      <c r="L514" s="48"/>
      <c r="M514" s="48"/>
      <c r="N514" s="48"/>
      <c r="O514" s="48"/>
      <c r="P514" s="48"/>
      <c r="Q514" s="48"/>
      <c r="R514" s="48">
        <v>100000</v>
      </c>
      <c r="S514" s="48">
        <v>100000</v>
      </c>
      <c r="T514" s="48"/>
      <c r="U514" s="48"/>
      <c r="V514" s="48"/>
      <c r="W514" s="48"/>
    </row>
    <row r="515" ht="32.9" customHeight="true" spans="1:23">
      <c r="A515" s="18"/>
      <c r="B515" s="18"/>
      <c r="C515" s="18" t="s">
        <v>803</v>
      </c>
      <c r="D515" s="18"/>
      <c r="E515" s="18"/>
      <c r="F515" s="18"/>
      <c r="G515" s="18"/>
      <c r="H515" s="18"/>
      <c r="I515" s="48">
        <v>66360</v>
      </c>
      <c r="J515" s="48"/>
      <c r="K515" s="48"/>
      <c r="L515" s="48"/>
      <c r="M515" s="48"/>
      <c r="N515" s="48">
        <v>66360</v>
      </c>
      <c r="O515" s="48"/>
      <c r="P515" s="48"/>
      <c r="Q515" s="48"/>
      <c r="R515" s="48"/>
      <c r="S515" s="48"/>
      <c r="T515" s="48"/>
      <c r="U515" s="48"/>
      <c r="V515" s="48"/>
      <c r="W515" s="48"/>
    </row>
    <row r="516" ht="32.9" customHeight="true" spans="1:23">
      <c r="A516" s="18" t="s">
        <v>559</v>
      </c>
      <c r="B516" s="155" t="s">
        <v>804</v>
      </c>
      <c r="C516" s="18" t="s">
        <v>803</v>
      </c>
      <c r="D516" s="18" t="s">
        <v>77</v>
      </c>
      <c r="E516" s="18" t="s">
        <v>129</v>
      </c>
      <c r="F516" s="18" t="s">
        <v>448</v>
      </c>
      <c r="G516" s="18" t="s">
        <v>273</v>
      </c>
      <c r="H516" s="18" t="s">
        <v>274</v>
      </c>
      <c r="I516" s="48">
        <v>66360</v>
      </c>
      <c r="J516" s="48"/>
      <c r="K516" s="48"/>
      <c r="L516" s="48"/>
      <c r="M516" s="48"/>
      <c r="N516" s="48">
        <v>66360</v>
      </c>
      <c r="O516" s="48"/>
      <c r="P516" s="48"/>
      <c r="Q516" s="48"/>
      <c r="R516" s="48"/>
      <c r="S516" s="48"/>
      <c r="T516" s="48"/>
      <c r="U516" s="48"/>
      <c r="V516" s="48"/>
      <c r="W516" s="48"/>
    </row>
    <row r="517" ht="32.9" customHeight="true" spans="1:23">
      <c r="A517" s="18"/>
      <c r="B517" s="18"/>
      <c r="C517" s="18" t="s">
        <v>805</v>
      </c>
      <c r="D517" s="18"/>
      <c r="E517" s="18"/>
      <c r="F517" s="18"/>
      <c r="G517" s="18"/>
      <c r="H517" s="18"/>
      <c r="I517" s="48">
        <v>795682.51</v>
      </c>
      <c r="J517" s="48"/>
      <c r="K517" s="48"/>
      <c r="L517" s="48"/>
      <c r="M517" s="48"/>
      <c r="N517" s="48">
        <v>795682.51</v>
      </c>
      <c r="O517" s="48"/>
      <c r="P517" s="48"/>
      <c r="Q517" s="48"/>
      <c r="R517" s="48"/>
      <c r="S517" s="48"/>
      <c r="T517" s="48"/>
      <c r="U517" s="48"/>
      <c r="V517" s="48"/>
      <c r="W517" s="48"/>
    </row>
    <row r="518" ht="32.9" customHeight="true" spans="1:23">
      <c r="A518" s="18" t="s">
        <v>559</v>
      </c>
      <c r="B518" s="155" t="s">
        <v>806</v>
      </c>
      <c r="C518" s="18" t="s">
        <v>805</v>
      </c>
      <c r="D518" s="18" t="s">
        <v>77</v>
      </c>
      <c r="E518" s="18" t="s">
        <v>154</v>
      </c>
      <c r="F518" s="18" t="s">
        <v>569</v>
      </c>
      <c r="G518" s="18" t="s">
        <v>281</v>
      </c>
      <c r="H518" s="18" t="s">
        <v>282</v>
      </c>
      <c r="I518" s="48">
        <v>94356.33</v>
      </c>
      <c r="J518" s="48"/>
      <c r="K518" s="48"/>
      <c r="L518" s="48"/>
      <c r="M518" s="48"/>
      <c r="N518" s="48">
        <v>94356.33</v>
      </c>
      <c r="O518" s="48"/>
      <c r="P518" s="48"/>
      <c r="Q518" s="48"/>
      <c r="R518" s="48"/>
      <c r="S518" s="48"/>
      <c r="T518" s="48"/>
      <c r="U518" s="48"/>
      <c r="V518" s="48"/>
      <c r="W518" s="48"/>
    </row>
    <row r="519" ht="32.9" customHeight="true" spans="1:23">
      <c r="A519" s="18" t="s">
        <v>559</v>
      </c>
      <c r="B519" s="155" t="s">
        <v>806</v>
      </c>
      <c r="C519" s="18" t="s">
        <v>805</v>
      </c>
      <c r="D519" s="18" t="s">
        <v>77</v>
      </c>
      <c r="E519" s="18" t="s">
        <v>154</v>
      </c>
      <c r="F519" s="18" t="s">
        <v>569</v>
      </c>
      <c r="G519" s="18" t="s">
        <v>316</v>
      </c>
      <c r="H519" s="18" t="s">
        <v>317</v>
      </c>
      <c r="I519" s="48">
        <v>18221.63</v>
      </c>
      <c r="J519" s="48"/>
      <c r="K519" s="48"/>
      <c r="L519" s="48"/>
      <c r="M519" s="48"/>
      <c r="N519" s="48">
        <v>18221.63</v>
      </c>
      <c r="O519" s="48"/>
      <c r="P519" s="48"/>
      <c r="Q519" s="48"/>
      <c r="R519" s="48"/>
      <c r="S519" s="48"/>
      <c r="T519" s="48"/>
      <c r="U519" s="48"/>
      <c r="V519" s="48"/>
      <c r="W519" s="48"/>
    </row>
    <row r="520" ht="32.9" customHeight="true" spans="1:23">
      <c r="A520" s="18" t="s">
        <v>559</v>
      </c>
      <c r="B520" s="155" t="s">
        <v>806</v>
      </c>
      <c r="C520" s="18" t="s">
        <v>805</v>
      </c>
      <c r="D520" s="18" t="s">
        <v>77</v>
      </c>
      <c r="E520" s="18" t="s">
        <v>154</v>
      </c>
      <c r="F520" s="18" t="s">
        <v>569</v>
      </c>
      <c r="G520" s="18" t="s">
        <v>273</v>
      </c>
      <c r="H520" s="18" t="s">
        <v>274</v>
      </c>
      <c r="I520" s="48">
        <v>483354.55</v>
      </c>
      <c r="J520" s="48"/>
      <c r="K520" s="48"/>
      <c r="L520" s="48"/>
      <c r="M520" s="48"/>
      <c r="N520" s="48">
        <v>483354.55</v>
      </c>
      <c r="O520" s="48"/>
      <c r="P520" s="48"/>
      <c r="Q520" s="48"/>
      <c r="R520" s="48"/>
      <c r="S520" s="48"/>
      <c r="T520" s="48"/>
      <c r="U520" s="48"/>
      <c r="V520" s="48"/>
      <c r="W520" s="48"/>
    </row>
    <row r="521" ht="32.9" customHeight="true" spans="1:23">
      <c r="A521" s="18" t="s">
        <v>559</v>
      </c>
      <c r="B521" s="155" t="s">
        <v>806</v>
      </c>
      <c r="C521" s="18" t="s">
        <v>805</v>
      </c>
      <c r="D521" s="18" t="s">
        <v>77</v>
      </c>
      <c r="E521" s="18" t="s">
        <v>154</v>
      </c>
      <c r="F521" s="18" t="s">
        <v>569</v>
      </c>
      <c r="G521" s="18" t="s">
        <v>629</v>
      </c>
      <c r="H521" s="18" t="s">
        <v>630</v>
      </c>
      <c r="I521" s="48">
        <v>199750</v>
      </c>
      <c r="J521" s="48"/>
      <c r="K521" s="48"/>
      <c r="L521" s="48"/>
      <c r="M521" s="48"/>
      <c r="N521" s="48">
        <v>199750</v>
      </c>
      <c r="O521" s="48"/>
      <c r="P521" s="48"/>
      <c r="Q521" s="48"/>
      <c r="R521" s="48"/>
      <c r="S521" s="48"/>
      <c r="T521" s="48"/>
      <c r="U521" s="48"/>
      <c r="V521" s="48"/>
      <c r="W521" s="48"/>
    </row>
    <row r="522" ht="32.9" customHeight="true" spans="1:23">
      <c r="A522" s="18"/>
      <c r="B522" s="18"/>
      <c r="C522" s="18" t="s">
        <v>807</v>
      </c>
      <c r="D522" s="18"/>
      <c r="E522" s="18"/>
      <c r="F522" s="18"/>
      <c r="G522" s="18"/>
      <c r="H522" s="18"/>
      <c r="I522" s="48">
        <v>10859.6</v>
      </c>
      <c r="J522" s="48"/>
      <c r="K522" s="48"/>
      <c r="L522" s="48"/>
      <c r="M522" s="48"/>
      <c r="N522" s="48">
        <v>10859.6</v>
      </c>
      <c r="O522" s="48"/>
      <c r="P522" s="48"/>
      <c r="Q522" s="48"/>
      <c r="R522" s="48"/>
      <c r="S522" s="48"/>
      <c r="T522" s="48"/>
      <c r="U522" s="48"/>
      <c r="V522" s="48"/>
      <c r="W522" s="48"/>
    </row>
    <row r="523" ht="32.9" customHeight="true" spans="1:23">
      <c r="A523" s="18" t="s">
        <v>559</v>
      </c>
      <c r="B523" s="155" t="s">
        <v>808</v>
      </c>
      <c r="C523" s="18" t="s">
        <v>807</v>
      </c>
      <c r="D523" s="18" t="s">
        <v>77</v>
      </c>
      <c r="E523" s="18" t="s">
        <v>152</v>
      </c>
      <c r="F523" s="18" t="s">
        <v>587</v>
      </c>
      <c r="G523" s="18" t="s">
        <v>281</v>
      </c>
      <c r="H523" s="18" t="s">
        <v>282</v>
      </c>
      <c r="I523" s="48">
        <v>109.6</v>
      </c>
      <c r="J523" s="48"/>
      <c r="K523" s="48"/>
      <c r="L523" s="48"/>
      <c r="M523" s="48"/>
      <c r="N523" s="48">
        <v>109.6</v>
      </c>
      <c r="O523" s="48"/>
      <c r="P523" s="48"/>
      <c r="Q523" s="48"/>
      <c r="R523" s="48"/>
      <c r="S523" s="48"/>
      <c r="T523" s="48"/>
      <c r="U523" s="48"/>
      <c r="V523" s="48"/>
      <c r="W523" s="48"/>
    </row>
    <row r="524" ht="32.9" customHeight="true" spans="1:23">
      <c r="A524" s="18" t="s">
        <v>559</v>
      </c>
      <c r="B524" s="155" t="s">
        <v>808</v>
      </c>
      <c r="C524" s="18" t="s">
        <v>807</v>
      </c>
      <c r="D524" s="18" t="s">
        <v>77</v>
      </c>
      <c r="E524" s="18" t="s">
        <v>152</v>
      </c>
      <c r="F524" s="18" t="s">
        <v>587</v>
      </c>
      <c r="G524" s="18" t="s">
        <v>316</v>
      </c>
      <c r="H524" s="18" t="s">
        <v>317</v>
      </c>
      <c r="I524" s="48">
        <v>1400</v>
      </c>
      <c r="J524" s="48"/>
      <c r="K524" s="48"/>
      <c r="L524" s="48"/>
      <c r="M524" s="48"/>
      <c r="N524" s="48">
        <v>1400</v>
      </c>
      <c r="O524" s="48"/>
      <c r="P524" s="48"/>
      <c r="Q524" s="48"/>
      <c r="R524" s="48"/>
      <c r="S524" s="48"/>
      <c r="T524" s="48"/>
      <c r="U524" s="48"/>
      <c r="V524" s="48"/>
      <c r="W524" s="48"/>
    </row>
    <row r="525" ht="32.9" customHeight="true" spans="1:23">
      <c r="A525" s="18" t="s">
        <v>559</v>
      </c>
      <c r="B525" s="155" t="s">
        <v>808</v>
      </c>
      <c r="C525" s="18" t="s">
        <v>807</v>
      </c>
      <c r="D525" s="18" t="s">
        <v>77</v>
      </c>
      <c r="E525" s="18" t="s">
        <v>152</v>
      </c>
      <c r="F525" s="18" t="s">
        <v>587</v>
      </c>
      <c r="G525" s="18" t="s">
        <v>438</v>
      </c>
      <c r="H525" s="18" t="s">
        <v>439</v>
      </c>
      <c r="I525" s="48">
        <v>9350</v>
      </c>
      <c r="J525" s="48"/>
      <c r="K525" s="48"/>
      <c r="L525" s="48"/>
      <c r="M525" s="48"/>
      <c r="N525" s="48">
        <v>9350</v>
      </c>
      <c r="O525" s="48"/>
      <c r="P525" s="48"/>
      <c r="Q525" s="48"/>
      <c r="R525" s="48"/>
      <c r="S525" s="48"/>
      <c r="T525" s="48"/>
      <c r="U525" s="48"/>
      <c r="V525" s="48"/>
      <c r="W525" s="48"/>
    </row>
    <row r="526" ht="32.9" customHeight="true" spans="1:23">
      <c r="A526" s="18"/>
      <c r="B526" s="18"/>
      <c r="C526" s="18" t="s">
        <v>809</v>
      </c>
      <c r="D526" s="18"/>
      <c r="E526" s="18"/>
      <c r="F526" s="18"/>
      <c r="G526" s="18"/>
      <c r="H526" s="18"/>
      <c r="I526" s="48">
        <v>16495.6</v>
      </c>
      <c r="J526" s="48"/>
      <c r="K526" s="48"/>
      <c r="L526" s="48"/>
      <c r="M526" s="48"/>
      <c r="N526" s="48">
        <v>16495.6</v>
      </c>
      <c r="O526" s="48"/>
      <c r="P526" s="48"/>
      <c r="Q526" s="48"/>
      <c r="R526" s="48"/>
      <c r="S526" s="48"/>
      <c r="T526" s="48"/>
      <c r="U526" s="48"/>
      <c r="V526" s="48"/>
      <c r="W526" s="48"/>
    </row>
    <row r="527" ht="32.9" customHeight="true" spans="1:23">
      <c r="A527" s="18" t="s">
        <v>559</v>
      </c>
      <c r="B527" s="155" t="s">
        <v>810</v>
      </c>
      <c r="C527" s="18" t="s">
        <v>809</v>
      </c>
      <c r="D527" s="18" t="s">
        <v>77</v>
      </c>
      <c r="E527" s="18" t="s">
        <v>152</v>
      </c>
      <c r="F527" s="18" t="s">
        <v>587</v>
      </c>
      <c r="G527" s="18" t="s">
        <v>281</v>
      </c>
      <c r="H527" s="18" t="s">
        <v>282</v>
      </c>
      <c r="I527" s="48">
        <v>16405</v>
      </c>
      <c r="J527" s="48"/>
      <c r="K527" s="48"/>
      <c r="L527" s="48"/>
      <c r="M527" s="48"/>
      <c r="N527" s="48">
        <v>16405</v>
      </c>
      <c r="O527" s="48"/>
      <c r="P527" s="48"/>
      <c r="Q527" s="48"/>
      <c r="R527" s="48"/>
      <c r="S527" s="48"/>
      <c r="T527" s="48"/>
      <c r="U527" s="48"/>
      <c r="V527" s="48"/>
      <c r="W527" s="48"/>
    </row>
    <row r="528" ht="32.9" customHeight="true" spans="1:23">
      <c r="A528" s="18" t="s">
        <v>559</v>
      </c>
      <c r="B528" s="155" t="s">
        <v>810</v>
      </c>
      <c r="C528" s="18" t="s">
        <v>809</v>
      </c>
      <c r="D528" s="18" t="s">
        <v>77</v>
      </c>
      <c r="E528" s="18" t="s">
        <v>152</v>
      </c>
      <c r="F528" s="18" t="s">
        <v>587</v>
      </c>
      <c r="G528" s="18" t="s">
        <v>625</v>
      </c>
      <c r="H528" s="18" t="s">
        <v>626</v>
      </c>
      <c r="I528" s="48">
        <v>90.6</v>
      </c>
      <c r="J528" s="48"/>
      <c r="K528" s="48"/>
      <c r="L528" s="48"/>
      <c r="M528" s="48"/>
      <c r="N528" s="48">
        <v>90.6</v>
      </c>
      <c r="O528" s="48"/>
      <c r="P528" s="48"/>
      <c r="Q528" s="48"/>
      <c r="R528" s="48"/>
      <c r="S528" s="48"/>
      <c r="T528" s="48"/>
      <c r="U528" s="48"/>
      <c r="V528" s="48"/>
      <c r="W528" s="48"/>
    </row>
    <row r="529" ht="32.9" customHeight="true" spans="1:23">
      <c r="A529" s="18"/>
      <c r="B529" s="18"/>
      <c r="C529" s="18" t="s">
        <v>811</v>
      </c>
      <c r="D529" s="18"/>
      <c r="E529" s="18"/>
      <c r="F529" s="18"/>
      <c r="G529" s="18"/>
      <c r="H529" s="18"/>
      <c r="I529" s="48">
        <v>67200</v>
      </c>
      <c r="J529" s="48"/>
      <c r="K529" s="48"/>
      <c r="L529" s="48"/>
      <c r="M529" s="48"/>
      <c r="N529" s="48">
        <v>67200</v>
      </c>
      <c r="O529" s="48"/>
      <c r="P529" s="48"/>
      <c r="Q529" s="48"/>
      <c r="R529" s="48"/>
      <c r="S529" s="48"/>
      <c r="T529" s="48"/>
      <c r="U529" s="48"/>
      <c r="V529" s="48"/>
      <c r="W529" s="48"/>
    </row>
    <row r="530" ht="32.9" customHeight="true" spans="1:23">
      <c r="A530" s="18" t="s">
        <v>567</v>
      </c>
      <c r="B530" s="155" t="s">
        <v>812</v>
      </c>
      <c r="C530" s="18" t="s">
        <v>811</v>
      </c>
      <c r="D530" s="18" t="s">
        <v>77</v>
      </c>
      <c r="E530" s="18" t="s">
        <v>132</v>
      </c>
      <c r="F530" s="18" t="s">
        <v>481</v>
      </c>
      <c r="G530" s="18" t="s">
        <v>316</v>
      </c>
      <c r="H530" s="18" t="s">
        <v>317</v>
      </c>
      <c r="I530" s="48">
        <v>67200</v>
      </c>
      <c r="J530" s="48"/>
      <c r="K530" s="48"/>
      <c r="L530" s="48"/>
      <c r="M530" s="48"/>
      <c r="N530" s="48">
        <v>67200</v>
      </c>
      <c r="O530" s="48"/>
      <c r="P530" s="48"/>
      <c r="Q530" s="48"/>
      <c r="R530" s="48"/>
      <c r="S530" s="48"/>
      <c r="T530" s="48"/>
      <c r="U530" s="48"/>
      <c r="V530" s="48"/>
      <c r="W530" s="48"/>
    </row>
    <row r="531" ht="32.9" customHeight="true" spans="1:23">
      <c r="A531" s="18"/>
      <c r="B531" s="18"/>
      <c r="C531" s="18" t="s">
        <v>813</v>
      </c>
      <c r="D531" s="18"/>
      <c r="E531" s="18"/>
      <c r="F531" s="18"/>
      <c r="G531" s="18"/>
      <c r="H531" s="18"/>
      <c r="I531" s="48">
        <v>3716.93</v>
      </c>
      <c r="J531" s="48"/>
      <c r="K531" s="48"/>
      <c r="L531" s="48"/>
      <c r="M531" s="48"/>
      <c r="N531" s="48">
        <v>3716.93</v>
      </c>
      <c r="O531" s="48"/>
      <c r="P531" s="48"/>
      <c r="Q531" s="48"/>
      <c r="R531" s="48"/>
      <c r="S531" s="48"/>
      <c r="T531" s="48"/>
      <c r="U531" s="48"/>
      <c r="V531" s="48"/>
      <c r="W531" s="48"/>
    </row>
    <row r="532" ht="32.9" customHeight="true" spans="1:23">
      <c r="A532" s="18" t="s">
        <v>559</v>
      </c>
      <c r="B532" s="155" t="s">
        <v>814</v>
      </c>
      <c r="C532" s="18" t="s">
        <v>813</v>
      </c>
      <c r="D532" s="18" t="s">
        <v>77</v>
      </c>
      <c r="E532" s="18" t="s">
        <v>154</v>
      </c>
      <c r="F532" s="18" t="s">
        <v>569</v>
      </c>
      <c r="G532" s="18" t="s">
        <v>281</v>
      </c>
      <c r="H532" s="18" t="s">
        <v>282</v>
      </c>
      <c r="I532" s="48">
        <v>3716.93</v>
      </c>
      <c r="J532" s="48"/>
      <c r="K532" s="48"/>
      <c r="L532" s="48"/>
      <c r="M532" s="48"/>
      <c r="N532" s="48">
        <v>3716.93</v>
      </c>
      <c r="O532" s="48"/>
      <c r="P532" s="48"/>
      <c r="Q532" s="48"/>
      <c r="R532" s="48"/>
      <c r="S532" s="48"/>
      <c r="T532" s="48"/>
      <c r="U532" s="48"/>
      <c r="V532" s="48"/>
      <c r="W532" s="48"/>
    </row>
    <row r="533" ht="32.9" customHeight="true" spans="1:23">
      <c r="A533" s="18"/>
      <c r="B533" s="18"/>
      <c r="C533" s="18" t="s">
        <v>815</v>
      </c>
      <c r="D533" s="18"/>
      <c r="E533" s="18"/>
      <c r="F533" s="18"/>
      <c r="G533" s="18"/>
      <c r="H533" s="18"/>
      <c r="I533" s="48">
        <v>3484885.16</v>
      </c>
      <c r="J533" s="48"/>
      <c r="K533" s="48"/>
      <c r="L533" s="48"/>
      <c r="M533" s="48"/>
      <c r="N533" s="48">
        <v>3484885.16</v>
      </c>
      <c r="O533" s="48"/>
      <c r="P533" s="48"/>
      <c r="Q533" s="48"/>
      <c r="R533" s="48"/>
      <c r="S533" s="48"/>
      <c r="T533" s="48"/>
      <c r="U533" s="48"/>
      <c r="V533" s="48"/>
      <c r="W533" s="48"/>
    </row>
    <row r="534" ht="32.9" customHeight="true" spans="1:23">
      <c r="A534" s="18" t="s">
        <v>559</v>
      </c>
      <c r="B534" s="155" t="s">
        <v>816</v>
      </c>
      <c r="C534" s="18" t="s">
        <v>815</v>
      </c>
      <c r="D534" s="18" t="s">
        <v>77</v>
      </c>
      <c r="E534" s="18" t="s">
        <v>152</v>
      </c>
      <c r="F534" s="18" t="s">
        <v>587</v>
      </c>
      <c r="G534" s="18" t="s">
        <v>281</v>
      </c>
      <c r="H534" s="18" t="s">
        <v>282</v>
      </c>
      <c r="I534" s="48">
        <v>1127092.6</v>
      </c>
      <c r="J534" s="48"/>
      <c r="K534" s="48"/>
      <c r="L534" s="48"/>
      <c r="M534" s="48"/>
      <c r="N534" s="48">
        <v>1127092.6</v>
      </c>
      <c r="O534" s="48"/>
      <c r="P534" s="48"/>
      <c r="Q534" s="48"/>
      <c r="R534" s="48"/>
      <c r="S534" s="48"/>
      <c r="T534" s="48"/>
      <c r="U534" s="48"/>
      <c r="V534" s="48"/>
      <c r="W534" s="48"/>
    </row>
    <row r="535" ht="32.9" customHeight="true" spans="1:23">
      <c r="A535" s="18" t="s">
        <v>559</v>
      </c>
      <c r="B535" s="155" t="s">
        <v>816</v>
      </c>
      <c r="C535" s="18" t="s">
        <v>815</v>
      </c>
      <c r="D535" s="18" t="s">
        <v>77</v>
      </c>
      <c r="E535" s="18" t="s">
        <v>152</v>
      </c>
      <c r="F535" s="18" t="s">
        <v>587</v>
      </c>
      <c r="G535" s="18" t="s">
        <v>316</v>
      </c>
      <c r="H535" s="18" t="s">
        <v>317</v>
      </c>
      <c r="I535" s="48">
        <v>24000</v>
      </c>
      <c r="J535" s="48"/>
      <c r="K535" s="48"/>
      <c r="L535" s="48"/>
      <c r="M535" s="48"/>
      <c r="N535" s="48">
        <v>24000</v>
      </c>
      <c r="O535" s="48"/>
      <c r="P535" s="48"/>
      <c r="Q535" s="48"/>
      <c r="R535" s="48"/>
      <c r="S535" s="48"/>
      <c r="T535" s="48"/>
      <c r="U535" s="48"/>
      <c r="V535" s="48"/>
      <c r="W535" s="48"/>
    </row>
    <row r="536" ht="32.9" customHeight="true" spans="1:23">
      <c r="A536" s="18" t="s">
        <v>559</v>
      </c>
      <c r="B536" s="155" t="s">
        <v>816</v>
      </c>
      <c r="C536" s="18" t="s">
        <v>815</v>
      </c>
      <c r="D536" s="18" t="s">
        <v>77</v>
      </c>
      <c r="E536" s="18" t="s">
        <v>152</v>
      </c>
      <c r="F536" s="18" t="s">
        <v>587</v>
      </c>
      <c r="G536" s="18" t="s">
        <v>273</v>
      </c>
      <c r="H536" s="18" t="s">
        <v>274</v>
      </c>
      <c r="I536" s="48">
        <v>233792.56</v>
      </c>
      <c r="J536" s="48"/>
      <c r="K536" s="48"/>
      <c r="L536" s="48"/>
      <c r="M536" s="48"/>
      <c r="N536" s="48">
        <v>233792.56</v>
      </c>
      <c r="O536" s="48"/>
      <c r="P536" s="48"/>
      <c r="Q536" s="48"/>
      <c r="R536" s="48"/>
      <c r="S536" s="48"/>
      <c r="T536" s="48"/>
      <c r="U536" s="48"/>
      <c r="V536" s="48"/>
      <c r="W536" s="48"/>
    </row>
    <row r="537" ht="32.9" customHeight="true" spans="1:23">
      <c r="A537" s="18" t="s">
        <v>559</v>
      </c>
      <c r="B537" s="155" t="s">
        <v>816</v>
      </c>
      <c r="C537" s="18" t="s">
        <v>815</v>
      </c>
      <c r="D537" s="18" t="s">
        <v>77</v>
      </c>
      <c r="E537" s="18" t="s">
        <v>152</v>
      </c>
      <c r="F537" s="18" t="s">
        <v>587</v>
      </c>
      <c r="G537" s="18" t="s">
        <v>629</v>
      </c>
      <c r="H537" s="18" t="s">
        <v>630</v>
      </c>
      <c r="I537" s="48">
        <v>2100000</v>
      </c>
      <c r="J537" s="48"/>
      <c r="K537" s="48"/>
      <c r="L537" s="48"/>
      <c r="M537" s="48"/>
      <c r="N537" s="48">
        <v>2100000</v>
      </c>
      <c r="O537" s="48"/>
      <c r="P537" s="48"/>
      <c r="Q537" s="48"/>
      <c r="R537" s="48"/>
      <c r="S537" s="48"/>
      <c r="T537" s="48"/>
      <c r="U537" s="48"/>
      <c r="V537" s="48"/>
      <c r="W537" s="48"/>
    </row>
    <row r="538" ht="32.9" customHeight="true" spans="1:23">
      <c r="A538" s="18"/>
      <c r="B538" s="18"/>
      <c r="C538" s="18" t="s">
        <v>817</v>
      </c>
      <c r="D538" s="18"/>
      <c r="E538" s="18"/>
      <c r="F538" s="18"/>
      <c r="G538" s="18"/>
      <c r="H538" s="18"/>
      <c r="I538" s="48">
        <v>9520</v>
      </c>
      <c r="J538" s="48"/>
      <c r="K538" s="48"/>
      <c r="L538" s="48"/>
      <c r="M538" s="48"/>
      <c r="N538" s="48">
        <v>9520</v>
      </c>
      <c r="O538" s="48"/>
      <c r="P538" s="48"/>
      <c r="Q538" s="48"/>
      <c r="R538" s="48"/>
      <c r="S538" s="48"/>
      <c r="T538" s="48"/>
      <c r="U538" s="48"/>
      <c r="V538" s="48"/>
      <c r="W538" s="48"/>
    </row>
    <row r="539" ht="32.9" customHeight="true" spans="1:23">
      <c r="A539" s="18" t="s">
        <v>559</v>
      </c>
      <c r="B539" s="155" t="s">
        <v>818</v>
      </c>
      <c r="C539" s="18" t="s">
        <v>817</v>
      </c>
      <c r="D539" s="18" t="s">
        <v>77</v>
      </c>
      <c r="E539" s="18" t="s">
        <v>154</v>
      </c>
      <c r="F539" s="18" t="s">
        <v>569</v>
      </c>
      <c r="G539" s="18" t="s">
        <v>629</v>
      </c>
      <c r="H539" s="18" t="s">
        <v>630</v>
      </c>
      <c r="I539" s="48">
        <v>9520</v>
      </c>
      <c r="J539" s="48"/>
      <c r="K539" s="48"/>
      <c r="L539" s="48"/>
      <c r="M539" s="48"/>
      <c r="N539" s="48">
        <v>9520</v>
      </c>
      <c r="O539" s="48"/>
      <c r="P539" s="48"/>
      <c r="Q539" s="48"/>
      <c r="R539" s="48"/>
      <c r="S539" s="48"/>
      <c r="T539" s="48"/>
      <c r="U539" s="48"/>
      <c r="V539" s="48"/>
      <c r="W539" s="48"/>
    </row>
    <row r="540" ht="32.9" customHeight="true" spans="1:23">
      <c r="A540" s="18"/>
      <c r="B540" s="18"/>
      <c r="C540" s="18" t="s">
        <v>819</v>
      </c>
      <c r="D540" s="18"/>
      <c r="E540" s="18"/>
      <c r="F540" s="18"/>
      <c r="G540" s="18"/>
      <c r="H540" s="18"/>
      <c r="I540" s="48">
        <v>554341.53</v>
      </c>
      <c r="J540" s="48"/>
      <c r="K540" s="48"/>
      <c r="L540" s="48"/>
      <c r="M540" s="48"/>
      <c r="N540" s="48">
        <v>554341.53</v>
      </c>
      <c r="O540" s="48"/>
      <c r="P540" s="48"/>
      <c r="Q540" s="48"/>
      <c r="R540" s="48"/>
      <c r="S540" s="48"/>
      <c r="T540" s="48"/>
      <c r="U540" s="48"/>
      <c r="V540" s="48"/>
      <c r="W540" s="48"/>
    </row>
    <row r="541" ht="32.9" customHeight="true" spans="1:23">
      <c r="A541" s="18" t="s">
        <v>559</v>
      </c>
      <c r="B541" s="155" t="s">
        <v>820</v>
      </c>
      <c r="C541" s="18" t="s">
        <v>819</v>
      </c>
      <c r="D541" s="18" t="s">
        <v>77</v>
      </c>
      <c r="E541" s="18" t="s">
        <v>142</v>
      </c>
      <c r="F541" s="18" t="s">
        <v>549</v>
      </c>
      <c r="G541" s="18" t="s">
        <v>625</v>
      </c>
      <c r="H541" s="18" t="s">
        <v>626</v>
      </c>
      <c r="I541" s="48">
        <v>524276.56</v>
      </c>
      <c r="J541" s="48"/>
      <c r="K541" s="48"/>
      <c r="L541" s="48"/>
      <c r="M541" s="48"/>
      <c r="N541" s="48">
        <v>524276.56</v>
      </c>
      <c r="O541" s="48"/>
      <c r="P541" s="48"/>
      <c r="Q541" s="48"/>
      <c r="R541" s="48"/>
      <c r="S541" s="48"/>
      <c r="T541" s="48"/>
      <c r="U541" s="48"/>
      <c r="V541" s="48"/>
      <c r="W541" s="48"/>
    </row>
    <row r="542" ht="32.9" customHeight="true" spans="1:23">
      <c r="A542" s="18" t="s">
        <v>559</v>
      </c>
      <c r="B542" s="155" t="s">
        <v>820</v>
      </c>
      <c r="C542" s="18" t="s">
        <v>819</v>
      </c>
      <c r="D542" s="18" t="s">
        <v>77</v>
      </c>
      <c r="E542" s="18" t="s">
        <v>142</v>
      </c>
      <c r="F542" s="18" t="s">
        <v>549</v>
      </c>
      <c r="G542" s="18" t="s">
        <v>273</v>
      </c>
      <c r="H542" s="18" t="s">
        <v>274</v>
      </c>
      <c r="I542" s="48">
        <v>30064.97</v>
      </c>
      <c r="J542" s="48"/>
      <c r="K542" s="48"/>
      <c r="L542" s="48"/>
      <c r="M542" s="48"/>
      <c r="N542" s="48">
        <v>30064.97</v>
      </c>
      <c r="O542" s="48"/>
      <c r="P542" s="48"/>
      <c r="Q542" s="48"/>
      <c r="R542" s="48"/>
      <c r="S542" s="48"/>
      <c r="T542" s="48"/>
      <c r="U542" s="48"/>
      <c r="V542" s="48"/>
      <c r="W542" s="48"/>
    </row>
    <row r="543" ht="32.9" customHeight="true" spans="1:23">
      <c r="A543" s="18"/>
      <c r="B543" s="18"/>
      <c r="C543" s="18" t="s">
        <v>821</v>
      </c>
      <c r="D543" s="18"/>
      <c r="E543" s="18"/>
      <c r="F543" s="18"/>
      <c r="G543" s="18"/>
      <c r="H543" s="18"/>
      <c r="I543" s="48">
        <v>8365600</v>
      </c>
      <c r="J543" s="48"/>
      <c r="K543" s="48"/>
      <c r="L543" s="48"/>
      <c r="M543" s="48"/>
      <c r="N543" s="48">
        <v>8365600</v>
      </c>
      <c r="O543" s="48"/>
      <c r="P543" s="48"/>
      <c r="Q543" s="48"/>
      <c r="R543" s="48"/>
      <c r="S543" s="48"/>
      <c r="T543" s="48"/>
      <c r="U543" s="48"/>
      <c r="V543" s="48"/>
      <c r="W543" s="48"/>
    </row>
    <row r="544" ht="32.9" customHeight="true" spans="1:23">
      <c r="A544" s="18" t="s">
        <v>559</v>
      </c>
      <c r="B544" s="155" t="s">
        <v>822</v>
      </c>
      <c r="C544" s="18" t="s">
        <v>821</v>
      </c>
      <c r="D544" s="18" t="s">
        <v>77</v>
      </c>
      <c r="E544" s="18" t="s">
        <v>126</v>
      </c>
      <c r="F544" s="18" t="s">
        <v>542</v>
      </c>
      <c r="G544" s="18" t="s">
        <v>316</v>
      </c>
      <c r="H544" s="18" t="s">
        <v>317</v>
      </c>
      <c r="I544" s="48">
        <v>500000</v>
      </c>
      <c r="J544" s="48"/>
      <c r="K544" s="48"/>
      <c r="L544" s="48"/>
      <c r="M544" s="48"/>
      <c r="N544" s="48">
        <v>500000</v>
      </c>
      <c r="O544" s="48"/>
      <c r="P544" s="48"/>
      <c r="Q544" s="48"/>
      <c r="R544" s="48"/>
      <c r="S544" s="48"/>
      <c r="T544" s="48"/>
      <c r="U544" s="48"/>
      <c r="V544" s="48"/>
      <c r="W544" s="48"/>
    </row>
    <row r="545" ht="32.9" customHeight="true" spans="1:23">
      <c r="A545" s="18" t="s">
        <v>559</v>
      </c>
      <c r="B545" s="155" t="s">
        <v>822</v>
      </c>
      <c r="C545" s="18" t="s">
        <v>821</v>
      </c>
      <c r="D545" s="18" t="s">
        <v>77</v>
      </c>
      <c r="E545" s="18" t="s">
        <v>126</v>
      </c>
      <c r="F545" s="18" t="s">
        <v>542</v>
      </c>
      <c r="G545" s="18" t="s">
        <v>629</v>
      </c>
      <c r="H545" s="18" t="s">
        <v>630</v>
      </c>
      <c r="I545" s="48">
        <v>4915600</v>
      </c>
      <c r="J545" s="48"/>
      <c r="K545" s="48"/>
      <c r="L545" s="48"/>
      <c r="M545" s="48"/>
      <c r="N545" s="48">
        <v>4915600</v>
      </c>
      <c r="O545" s="48"/>
      <c r="P545" s="48"/>
      <c r="Q545" s="48"/>
      <c r="R545" s="48"/>
      <c r="S545" s="48"/>
      <c r="T545" s="48"/>
      <c r="U545" s="48"/>
      <c r="V545" s="48"/>
      <c r="W545" s="48"/>
    </row>
    <row r="546" ht="32.9" customHeight="true" spans="1:23">
      <c r="A546" s="18" t="s">
        <v>559</v>
      </c>
      <c r="B546" s="155" t="s">
        <v>822</v>
      </c>
      <c r="C546" s="18" t="s">
        <v>821</v>
      </c>
      <c r="D546" s="18" t="s">
        <v>77</v>
      </c>
      <c r="E546" s="18" t="s">
        <v>126</v>
      </c>
      <c r="F546" s="18" t="s">
        <v>542</v>
      </c>
      <c r="G546" s="18" t="s">
        <v>801</v>
      </c>
      <c r="H546" s="18" t="s">
        <v>802</v>
      </c>
      <c r="I546" s="48">
        <v>2950000</v>
      </c>
      <c r="J546" s="48"/>
      <c r="K546" s="48"/>
      <c r="L546" s="48"/>
      <c r="M546" s="48"/>
      <c r="N546" s="48">
        <v>2950000</v>
      </c>
      <c r="O546" s="48"/>
      <c r="P546" s="48"/>
      <c r="Q546" s="48"/>
      <c r="R546" s="48"/>
      <c r="S546" s="48"/>
      <c r="T546" s="48"/>
      <c r="U546" s="48"/>
      <c r="V546" s="48"/>
      <c r="W546" s="48"/>
    </row>
    <row r="547" ht="32.9" customHeight="true" spans="1:23">
      <c r="A547" s="18"/>
      <c r="B547" s="18"/>
      <c r="C547" s="18" t="s">
        <v>823</v>
      </c>
      <c r="D547" s="18"/>
      <c r="E547" s="18"/>
      <c r="F547" s="18"/>
      <c r="G547" s="18"/>
      <c r="H547" s="18"/>
      <c r="I547" s="48">
        <v>279900</v>
      </c>
      <c r="J547" s="48"/>
      <c r="K547" s="48"/>
      <c r="L547" s="48"/>
      <c r="M547" s="48"/>
      <c r="N547" s="48">
        <v>279900</v>
      </c>
      <c r="O547" s="48"/>
      <c r="P547" s="48"/>
      <c r="Q547" s="48"/>
      <c r="R547" s="48"/>
      <c r="S547" s="48"/>
      <c r="T547" s="48"/>
      <c r="U547" s="48"/>
      <c r="V547" s="48"/>
      <c r="W547" s="48"/>
    </row>
    <row r="548" ht="32.9" customHeight="true" spans="1:23">
      <c r="A548" s="18" t="s">
        <v>559</v>
      </c>
      <c r="B548" s="155" t="s">
        <v>824</v>
      </c>
      <c r="C548" s="18" t="s">
        <v>823</v>
      </c>
      <c r="D548" s="18" t="s">
        <v>77</v>
      </c>
      <c r="E548" s="18" t="s">
        <v>129</v>
      </c>
      <c r="F548" s="18" t="s">
        <v>448</v>
      </c>
      <c r="G548" s="18" t="s">
        <v>283</v>
      </c>
      <c r="H548" s="18" t="s">
        <v>284</v>
      </c>
      <c r="I548" s="48">
        <v>279900</v>
      </c>
      <c r="J548" s="48"/>
      <c r="K548" s="48"/>
      <c r="L548" s="48"/>
      <c r="M548" s="48"/>
      <c r="N548" s="48">
        <v>279900</v>
      </c>
      <c r="O548" s="48"/>
      <c r="P548" s="48"/>
      <c r="Q548" s="48"/>
      <c r="R548" s="48"/>
      <c r="S548" s="48"/>
      <c r="T548" s="48"/>
      <c r="U548" s="48"/>
      <c r="V548" s="48"/>
      <c r="W548" s="48"/>
    </row>
    <row r="549" ht="32.9" customHeight="true" spans="1:23">
      <c r="A549" s="18"/>
      <c r="B549" s="18"/>
      <c r="C549" s="18" t="s">
        <v>825</v>
      </c>
      <c r="D549" s="18"/>
      <c r="E549" s="18"/>
      <c r="F549" s="18"/>
      <c r="G549" s="18"/>
      <c r="H549" s="18"/>
      <c r="I549" s="48">
        <v>10000</v>
      </c>
      <c r="J549" s="48"/>
      <c r="K549" s="48"/>
      <c r="L549" s="48"/>
      <c r="M549" s="48"/>
      <c r="N549" s="48">
        <v>10000</v>
      </c>
      <c r="O549" s="48"/>
      <c r="P549" s="48"/>
      <c r="Q549" s="48"/>
      <c r="R549" s="48"/>
      <c r="S549" s="48"/>
      <c r="T549" s="48"/>
      <c r="U549" s="48"/>
      <c r="V549" s="48"/>
      <c r="W549" s="48"/>
    </row>
    <row r="550" ht="32.9" customHeight="true" spans="1:23">
      <c r="A550" s="18" t="s">
        <v>559</v>
      </c>
      <c r="B550" s="155" t="s">
        <v>826</v>
      </c>
      <c r="C550" s="18" t="s">
        <v>825</v>
      </c>
      <c r="D550" s="18" t="s">
        <v>77</v>
      </c>
      <c r="E550" s="18" t="s">
        <v>141</v>
      </c>
      <c r="F550" s="18" t="s">
        <v>555</v>
      </c>
      <c r="G550" s="18" t="s">
        <v>277</v>
      </c>
      <c r="H550" s="18" t="s">
        <v>278</v>
      </c>
      <c r="I550" s="48">
        <v>3200</v>
      </c>
      <c r="J550" s="48"/>
      <c r="K550" s="48"/>
      <c r="L550" s="48"/>
      <c r="M550" s="48"/>
      <c r="N550" s="48">
        <v>3200</v>
      </c>
      <c r="O550" s="48"/>
      <c r="P550" s="48"/>
      <c r="Q550" s="48"/>
      <c r="R550" s="48"/>
      <c r="S550" s="48"/>
      <c r="T550" s="48"/>
      <c r="U550" s="48"/>
      <c r="V550" s="48"/>
      <c r="W550" s="48"/>
    </row>
    <row r="551" ht="32.9" customHeight="true" spans="1:23">
      <c r="A551" s="18" t="s">
        <v>559</v>
      </c>
      <c r="B551" s="155" t="s">
        <v>826</v>
      </c>
      <c r="C551" s="18" t="s">
        <v>825</v>
      </c>
      <c r="D551" s="18" t="s">
        <v>77</v>
      </c>
      <c r="E551" s="18" t="s">
        <v>141</v>
      </c>
      <c r="F551" s="18" t="s">
        <v>555</v>
      </c>
      <c r="G551" s="18" t="s">
        <v>281</v>
      </c>
      <c r="H551" s="18" t="s">
        <v>282</v>
      </c>
      <c r="I551" s="48">
        <v>400</v>
      </c>
      <c r="J551" s="48"/>
      <c r="K551" s="48"/>
      <c r="L551" s="48"/>
      <c r="M551" s="48"/>
      <c r="N551" s="48">
        <v>400</v>
      </c>
      <c r="O551" s="48"/>
      <c r="P551" s="48"/>
      <c r="Q551" s="48"/>
      <c r="R551" s="48"/>
      <c r="S551" s="48"/>
      <c r="T551" s="48"/>
      <c r="U551" s="48"/>
      <c r="V551" s="48"/>
      <c r="W551" s="48"/>
    </row>
    <row r="552" ht="32.9" customHeight="true" spans="1:23">
      <c r="A552" s="18" t="s">
        <v>559</v>
      </c>
      <c r="B552" s="155" t="s">
        <v>826</v>
      </c>
      <c r="C552" s="18" t="s">
        <v>825</v>
      </c>
      <c r="D552" s="18" t="s">
        <v>77</v>
      </c>
      <c r="E552" s="18" t="s">
        <v>141</v>
      </c>
      <c r="F552" s="18" t="s">
        <v>555</v>
      </c>
      <c r="G552" s="18" t="s">
        <v>266</v>
      </c>
      <c r="H552" s="18" t="s">
        <v>267</v>
      </c>
      <c r="I552" s="48">
        <v>6300</v>
      </c>
      <c r="J552" s="48"/>
      <c r="K552" s="48"/>
      <c r="L552" s="48"/>
      <c r="M552" s="48"/>
      <c r="N552" s="48">
        <v>6300</v>
      </c>
      <c r="O552" s="48"/>
      <c r="P552" s="48"/>
      <c r="Q552" s="48"/>
      <c r="R552" s="48"/>
      <c r="S552" s="48"/>
      <c r="T552" s="48"/>
      <c r="U552" s="48"/>
      <c r="V552" s="48"/>
      <c r="W552" s="48"/>
    </row>
    <row r="553" ht="32.9" customHeight="true" spans="1:23">
      <c r="A553" s="18" t="s">
        <v>559</v>
      </c>
      <c r="B553" s="155" t="s">
        <v>826</v>
      </c>
      <c r="C553" s="18" t="s">
        <v>825</v>
      </c>
      <c r="D553" s="18" t="s">
        <v>77</v>
      </c>
      <c r="E553" s="18" t="s">
        <v>141</v>
      </c>
      <c r="F553" s="18" t="s">
        <v>555</v>
      </c>
      <c r="G553" s="18" t="s">
        <v>273</v>
      </c>
      <c r="H553" s="18" t="s">
        <v>274</v>
      </c>
      <c r="I553" s="48">
        <v>100</v>
      </c>
      <c r="J553" s="48"/>
      <c r="K553" s="48"/>
      <c r="L553" s="48"/>
      <c r="M553" s="48"/>
      <c r="N553" s="48">
        <v>100</v>
      </c>
      <c r="O553" s="48"/>
      <c r="P553" s="48"/>
      <c r="Q553" s="48"/>
      <c r="R553" s="48"/>
      <c r="S553" s="48"/>
      <c r="T553" s="48"/>
      <c r="U553" s="48"/>
      <c r="V553" s="48"/>
      <c r="W553" s="48"/>
    </row>
    <row r="554" ht="32.9" customHeight="true" spans="1:23">
      <c r="A554" s="18"/>
      <c r="B554" s="18"/>
      <c r="C554" s="18" t="s">
        <v>827</v>
      </c>
      <c r="D554" s="18"/>
      <c r="E554" s="18"/>
      <c r="F554" s="18"/>
      <c r="G554" s="18"/>
      <c r="H554" s="18"/>
      <c r="I554" s="48">
        <v>17791.6</v>
      </c>
      <c r="J554" s="48"/>
      <c r="K554" s="48"/>
      <c r="L554" s="48"/>
      <c r="M554" s="48"/>
      <c r="N554" s="48">
        <v>17791.6</v>
      </c>
      <c r="O554" s="48"/>
      <c r="P554" s="48"/>
      <c r="Q554" s="48"/>
      <c r="R554" s="48"/>
      <c r="S554" s="48"/>
      <c r="T554" s="48"/>
      <c r="U554" s="48"/>
      <c r="V554" s="48"/>
      <c r="W554" s="48"/>
    </row>
    <row r="555" ht="32.9" customHeight="true" spans="1:23">
      <c r="A555" s="18" t="s">
        <v>559</v>
      </c>
      <c r="B555" s="155" t="s">
        <v>828</v>
      </c>
      <c r="C555" s="18" t="s">
        <v>827</v>
      </c>
      <c r="D555" s="18" t="s">
        <v>77</v>
      </c>
      <c r="E555" s="18" t="s">
        <v>154</v>
      </c>
      <c r="F555" s="18" t="s">
        <v>569</v>
      </c>
      <c r="G555" s="18" t="s">
        <v>273</v>
      </c>
      <c r="H555" s="18" t="s">
        <v>274</v>
      </c>
      <c r="I555" s="48">
        <v>17791.6</v>
      </c>
      <c r="J555" s="48"/>
      <c r="K555" s="48"/>
      <c r="L555" s="48"/>
      <c r="M555" s="48"/>
      <c r="N555" s="48">
        <v>17791.6</v>
      </c>
      <c r="O555" s="48"/>
      <c r="P555" s="48"/>
      <c r="Q555" s="48"/>
      <c r="R555" s="48"/>
      <c r="S555" s="48"/>
      <c r="T555" s="48"/>
      <c r="U555" s="48"/>
      <c r="V555" s="48"/>
      <c r="W555" s="48"/>
    </row>
    <row r="556" ht="32.9" customHeight="true" spans="1:23">
      <c r="A556" s="18"/>
      <c r="B556" s="18"/>
      <c r="C556" s="18" t="s">
        <v>700</v>
      </c>
      <c r="D556" s="18"/>
      <c r="E556" s="18"/>
      <c r="F556" s="18"/>
      <c r="G556" s="18"/>
      <c r="H556" s="18"/>
      <c r="I556" s="48">
        <v>466.88</v>
      </c>
      <c r="J556" s="48"/>
      <c r="K556" s="48"/>
      <c r="L556" s="48"/>
      <c r="M556" s="48"/>
      <c r="N556" s="48">
        <v>466.88</v>
      </c>
      <c r="O556" s="48"/>
      <c r="P556" s="48"/>
      <c r="Q556" s="48"/>
      <c r="R556" s="48"/>
      <c r="S556" s="48"/>
      <c r="T556" s="48"/>
      <c r="U556" s="48"/>
      <c r="V556" s="48"/>
      <c r="W556" s="48"/>
    </row>
    <row r="557" ht="32.9" customHeight="true" spans="1:23">
      <c r="A557" s="18" t="s">
        <v>559</v>
      </c>
      <c r="B557" s="155" t="s">
        <v>829</v>
      </c>
      <c r="C557" s="18" t="s">
        <v>700</v>
      </c>
      <c r="D557" s="18" t="s">
        <v>77</v>
      </c>
      <c r="E557" s="18" t="s">
        <v>154</v>
      </c>
      <c r="F557" s="18" t="s">
        <v>569</v>
      </c>
      <c r="G557" s="18" t="s">
        <v>254</v>
      </c>
      <c r="H557" s="18" t="s">
        <v>255</v>
      </c>
      <c r="I557" s="48">
        <v>466.88</v>
      </c>
      <c r="J557" s="48"/>
      <c r="K557" s="48"/>
      <c r="L557" s="48"/>
      <c r="M557" s="48"/>
      <c r="N557" s="48">
        <v>466.88</v>
      </c>
      <c r="O557" s="48"/>
      <c r="P557" s="48"/>
      <c r="Q557" s="48"/>
      <c r="R557" s="48"/>
      <c r="S557" s="48"/>
      <c r="T557" s="48"/>
      <c r="U557" s="48"/>
      <c r="V557" s="48"/>
      <c r="W557" s="48"/>
    </row>
    <row r="558" ht="32.9" customHeight="true" spans="1:23">
      <c r="A558" s="18"/>
      <c r="B558" s="18"/>
      <c r="C558" s="18" t="s">
        <v>830</v>
      </c>
      <c r="D558" s="18"/>
      <c r="E558" s="18"/>
      <c r="F558" s="18"/>
      <c r="G558" s="18"/>
      <c r="H558" s="18"/>
      <c r="I558" s="48">
        <v>2541349.1</v>
      </c>
      <c r="J558" s="48"/>
      <c r="K558" s="48"/>
      <c r="L558" s="48"/>
      <c r="M558" s="48"/>
      <c r="N558" s="48">
        <v>2541349.1</v>
      </c>
      <c r="O558" s="48"/>
      <c r="P558" s="48"/>
      <c r="Q558" s="48"/>
      <c r="R558" s="48"/>
      <c r="S558" s="48"/>
      <c r="T558" s="48"/>
      <c r="U558" s="48"/>
      <c r="V558" s="48"/>
      <c r="W558" s="48"/>
    </row>
    <row r="559" ht="32.9" customHeight="true" spans="1:23">
      <c r="A559" s="18" t="s">
        <v>559</v>
      </c>
      <c r="B559" s="155" t="s">
        <v>831</v>
      </c>
      <c r="C559" s="18" t="s">
        <v>830</v>
      </c>
      <c r="D559" s="18" t="s">
        <v>77</v>
      </c>
      <c r="E559" s="18" t="s">
        <v>154</v>
      </c>
      <c r="F559" s="18" t="s">
        <v>569</v>
      </c>
      <c r="G559" s="18" t="s">
        <v>281</v>
      </c>
      <c r="H559" s="18" t="s">
        <v>282</v>
      </c>
      <c r="I559" s="48">
        <v>814449.1</v>
      </c>
      <c r="J559" s="48"/>
      <c r="K559" s="48"/>
      <c r="L559" s="48"/>
      <c r="M559" s="48"/>
      <c r="N559" s="48">
        <v>814449.1</v>
      </c>
      <c r="O559" s="48"/>
      <c r="P559" s="48"/>
      <c r="Q559" s="48"/>
      <c r="R559" s="48"/>
      <c r="S559" s="48"/>
      <c r="T559" s="48"/>
      <c r="U559" s="48"/>
      <c r="V559" s="48"/>
      <c r="W559" s="48"/>
    </row>
    <row r="560" ht="32.9" customHeight="true" spans="1:23">
      <c r="A560" s="18" t="s">
        <v>559</v>
      </c>
      <c r="B560" s="155" t="s">
        <v>831</v>
      </c>
      <c r="C560" s="18" t="s">
        <v>830</v>
      </c>
      <c r="D560" s="18" t="s">
        <v>77</v>
      </c>
      <c r="E560" s="18" t="s">
        <v>154</v>
      </c>
      <c r="F560" s="18" t="s">
        <v>569</v>
      </c>
      <c r="G560" s="18" t="s">
        <v>625</v>
      </c>
      <c r="H560" s="18" t="s">
        <v>626</v>
      </c>
      <c r="I560" s="48">
        <v>100000</v>
      </c>
      <c r="J560" s="48"/>
      <c r="K560" s="48"/>
      <c r="L560" s="48"/>
      <c r="M560" s="48"/>
      <c r="N560" s="48">
        <v>100000</v>
      </c>
      <c r="O560" s="48"/>
      <c r="P560" s="48"/>
      <c r="Q560" s="48"/>
      <c r="R560" s="48"/>
      <c r="S560" s="48"/>
      <c r="T560" s="48"/>
      <c r="U560" s="48"/>
      <c r="V560" s="48"/>
      <c r="W560" s="48"/>
    </row>
    <row r="561" ht="32.9" customHeight="true" spans="1:23">
      <c r="A561" s="18" t="s">
        <v>559</v>
      </c>
      <c r="B561" s="155" t="s">
        <v>831</v>
      </c>
      <c r="C561" s="18" t="s">
        <v>830</v>
      </c>
      <c r="D561" s="18" t="s">
        <v>77</v>
      </c>
      <c r="E561" s="18" t="s">
        <v>154</v>
      </c>
      <c r="F561" s="18" t="s">
        <v>569</v>
      </c>
      <c r="G561" s="18" t="s">
        <v>316</v>
      </c>
      <c r="H561" s="18" t="s">
        <v>317</v>
      </c>
      <c r="I561" s="48">
        <v>140000</v>
      </c>
      <c r="J561" s="48"/>
      <c r="K561" s="48"/>
      <c r="L561" s="48"/>
      <c r="M561" s="48"/>
      <c r="N561" s="48">
        <v>140000</v>
      </c>
      <c r="O561" s="48"/>
      <c r="P561" s="48"/>
      <c r="Q561" s="48"/>
      <c r="R561" s="48"/>
      <c r="S561" s="48"/>
      <c r="T561" s="48"/>
      <c r="U561" s="48"/>
      <c r="V561" s="48"/>
      <c r="W561" s="48"/>
    </row>
    <row r="562" ht="32.9" customHeight="true" spans="1:23">
      <c r="A562" s="18" t="s">
        <v>559</v>
      </c>
      <c r="B562" s="155" t="s">
        <v>831</v>
      </c>
      <c r="C562" s="18" t="s">
        <v>830</v>
      </c>
      <c r="D562" s="18" t="s">
        <v>77</v>
      </c>
      <c r="E562" s="18" t="s">
        <v>154</v>
      </c>
      <c r="F562" s="18" t="s">
        <v>569</v>
      </c>
      <c r="G562" s="18" t="s">
        <v>273</v>
      </c>
      <c r="H562" s="18" t="s">
        <v>274</v>
      </c>
      <c r="I562" s="48">
        <v>200000</v>
      </c>
      <c r="J562" s="48"/>
      <c r="K562" s="48"/>
      <c r="L562" s="48"/>
      <c r="M562" s="48"/>
      <c r="N562" s="48">
        <v>200000</v>
      </c>
      <c r="O562" s="48"/>
      <c r="P562" s="48"/>
      <c r="Q562" s="48"/>
      <c r="R562" s="48"/>
      <c r="S562" s="48"/>
      <c r="T562" s="48"/>
      <c r="U562" s="48"/>
      <c r="V562" s="48"/>
      <c r="W562" s="48"/>
    </row>
    <row r="563" ht="32.9" customHeight="true" spans="1:23">
      <c r="A563" s="18" t="s">
        <v>559</v>
      </c>
      <c r="B563" s="155" t="s">
        <v>831</v>
      </c>
      <c r="C563" s="18" t="s">
        <v>830</v>
      </c>
      <c r="D563" s="18" t="s">
        <v>77</v>
      </c>
      <c r="E563" s="18" t="s">
        <v>154</v>
      </c>
      <c r="F563" s="18" t="s">
        <v>569</v>
      </c>
      <c r="G563" s="18" t="s">
        <v>629</v>
      </c>
      <c r="H563" s="18" t="s">
        <v>630</v>
      </c>
      <c r="I563" s="48">
        <v>1286900</v>
      </c>
      <c r="J563" s="48"/>
      <c r="K563" s="48"/>
      <c r="L563" s="48"/>
      <c r="M563" s="48"/>
      <c r="N563" s="48">
        <v>1286900</v>
      </c>
      <c r="O563" s="48"/>
      <c r="P563" s="48"/>
      <c r="Q563" s="48"/>
      <c r="R563" s="48"/>
      <c r="S563" s="48"/>
      <c r="T563" s="48"/>
      <c r="U563" s="48"/>
      <c r="V563" s="48"/>
      <c r="W563" s="48"/>
    </row>
    <row r="564" ht="32.9" customHeight="true" spans="1:23">
      <c r="A564" s="18"/>
      <c r="B564" s="18"/>
      <c r="C564" s="18" t="s">
        <v>832</v>
      </c>
      <c r="D564" s="18"/>
      <c r="E564" s="18"/>
      <c r="F564" s="18"/>
      <c r="G564" s="18"/>
      <c r="H564" s="18"/>
      <c r="I564" s="48">
        <v>3000000</v>
      </c>
      <c r="J564" s="48"/>
      <c r="K564" s="48"/>
      <c r="L564" s="48"/>
      <c r="M564" s="48"/>
      <c r="N564" s="48">
        <v>3000000</v>
      </c>
      <c r="O564" s="48"/>
      <c r="P564" s="48"/>
      <c r="Q564" s="48"/>
      <c r="R564" s="48"/>
      <c r="S564" s="48"/>
      <c r="T564" s="48"/>
      <c r="U564" s="48"/>
      <c r="V564" s="48"/>
      <c r="W564" s="48"/>
    </row>
    <row r="565" ht="32.9" customHeight="true" spans="1:23">
      <c r="A565" s="18" t="s">
        <v>559</v>
      </c>
      <c r="B565" s="155" t="s">
        <v>833</v>
      </c>
      <c r="C565" s="18" t="s">
        <v>832</v>
      </c>
      <c r="D565" s="18" t="s">
        <v>77</v>
      </c>
      <c r="E565" s="18" t="s">
        <v>154</v>
      </c>
      <c r="F565" s="18" t="s">
        <v>569</v>
      </c>
      <c r="G565" s="18" t="s">
        <v>281</v>
      </c>
      <c r="H565" s="18" t="s">
        <v>282</v>
      </c>
      <c r="I565" s="48">
        <v>200000</v>
      </c>
      <c r="J565" s="48"/>
      <c r="K565" s="48"/>
      <c r="L565" s="48"/>
      <c r="M565" s="48"/>
      <c r="N565" s="48">
        <v>200000</v>
      </c>
      <c r="O565" s="48"/>
      <c r="P565" s="48"/>
      <c r="Q565" s="48"/>
      <c r="R565" s="48"/>
      <c r="S565" s="48"/>
      <c r="T565" s="48"/>
      <c r="U565" s="48"/>
      <c r="V565" s="48"/>
      <c r="W565" s="48"/>
    </row>
    <row r="566" ht="32.9" customHeight="true" spans="1:23">
      <c r="A566" s="18" t="s">
        <v>559</v>
      </c>
      <c r="B566" s="155" t="s">
        <v>833</v>
      </c>
      <c r="C566" s="18" t="s">
        <v>832</v>
      </c>
      <c r="D566" s="18" t="s">
        <v>77</v>
      </c>
      <c r="E566" s="18" t="s">
        <v>154</v>
      </c>
      <c r="F566" s="18" t="s">
        <v>569</v>
      </c>
      <c r="G566" s="18" t="s">
        <v>629</v>
      </c>
      <c r="H566" s="18" t="s">
        <v>630</v>
      </c>
      <c r="I566" s="48">
        <v>2800000</v>
      </c>
      <c r="J566" s="48"/>
      <c r="K566" s="48"/>
      <c r="L566" s="48"/>
      <c r="M566" s="48"/>
      <c r="N566" s="48">
        <v>2800000</v>
      </c>
      <c r="O566" s="48"/>
      <c r="P566" s="48"/>
      <c r="Q566" s="48"/>
      <c r="R566" s="48"/>
      <c r="S566" s="48"/>
      <c r="T566" s="48"/>
      <c r="U566" s="48"/>
      <c r="V566" s="48"/>
      <c r="W566" s="48"/>
    </row>
    <row r="567" ht="32.9" customHeight="true" spans="1:23">
      <c r="A567" s="18"/>
      <c r="B567" s="18"/>
      <c r="C567" s="18" t="s">
        <v>834</v>
      </c>
      <c r="D567" s="18"/>
      <c r="E567" s="18"/>
      <c r="F567" s="18"/>
      <c r="G567" s="18"/>
      <c r="H567" s="18"/>
      <c r="I567" s="48">
        <v>220000</v>
      </c>
      <c r="J567" s="48">
        <v>220000</v>
      </c>
      <c r="K567" s="48">
        <v>220000</v>
      </c>
      <c r="L567" s="48"/>
      <c r="M567" s="48"/>
      <c r="N567" s="48"/>
      <c r="O567" s="48"/>
      <c r="P567" s="48"/>
      <c r="Q567" s="48"/>
      <c r="R567" s="48"/>
      <c r="S567" s="48"/>
      <c r="T567" s="48"/>
      <c r="U567" s="48"/>
      <c r="V567" s="48"/>
      <c r="W567" s="48"/>
    </row>
    <row r="568" ht="32.9" customHeight="true" spans="1:23">
      <c r="A568" s="18" t="s">
        <v>559</v>
      </c>
      <c r="B568" s="155" t="s">
        <v>835</v>
      </c>
      <c r="C568" s="18" t="s">
        <v>834</v>
      </c>
      <c r="D568" s="18" t="s">
        <v>77</v>
      </c>
      <c r="E568" s="18" t="s">
        <v>110</v>
      </c>
      <c r="F568" s="18" t="s">
        <v>563</v>
      </c>
      <c r="G568" s="18" t="s">
        <v>281</v>
      </c>
      <c r="H568" s="18" t="s">
        <v>282</v>
      </c>
      <c r="I568" s="48">
        <v>220000</v>
      </c>
      <c r="J568" s="48">
        <v>220000</v>
      </c>
      <c r="K568" s="48">
        <v>220000</v>
      </c>
      <c r="L568" s="48"/>
      <c r="M568" s="48"/>
      <c r="N568" s="48"/>
      <c r="O568" s="48"/>
      <c r="P568" s="48"/>
      <c r="Q568" s="48"/>
      <c r="R568" s="48"/>
      <c r="S568" s="48"/>
      <c r="T568" s="48"/>
      <c r="U568" s="48"/>
      <c r="V568" s="48"/>
      <c r="W568" s="48"/>
    </row>
    <row r="569" ht="32.9" customHeight="true" spans="1:23">
      <c r="A569" s="18"/>
      <c r="B569" s="18"/>
      <c r="C569" s="18" t="s">
        <v>836</v>
      </c>
      <c r="D569" s="18"/>
      <c r="E569" s="18"/>
      <c r="F569" s="18"/>
      <c r="G569" s="18"/>
      <c r="H569" s="18"/>
      <c r="I569" s="48">
        <v>1122.89</v>
      </c>
      <c r="J569" s="48"/>
      <c r="K569" s="48"/>
      <c r="L569" s="48"/>
      <c r="M569" s="48"/>
      <c r="N569" s="48">
        <v>1122.89</v>
      </c>
      <c r="O569" s="48"/>
      <c r="P569" s="48"/>
      <c r="Q569" s="48"/>
      <c r="R569" s="48"/>
      <c r="S569" s="48"/>
      <c r="T569" s="48"/>
      <c r="U569" s="48"/>
      <c r="V569" s="48"/>
      <c r="W569" s="48"/>
    </row>
    <row r="570" ht="32.9" customHeight="true" spans="1:23">
      <c r="A570" s="18" t="s">
        <v>559</v>
      </c>
      <c r="B570" s="155" t="s">
        <v>837</v>
      </c>
      <c r="C570" s="18" t="s">
        <v>836</v>
      </c>
      <c r="D570" s="18" t="s">
        <v>79</v>
      </c>
      <c r="E570" s="18" t="s">
        <v>154</v>
      </c>
      <c r="F570" s="18" t="s">
        <v>569</v>
      </c>
      <c r="G570" s="18" t="s">
        <v>625</v>
      </c>
      <c r="H570" s="18" t="s">
        <v>626</v>
      </c>
      <c r="I570" s="48">
        <v>1122.89</v>
      </c>
      <c r="J570" s="48"/>
      <c r="K570" s="48"/>
      <c r="L570" s="48"/>
      <c r="M570" s="48"/>
      <c r="N570" s="48">
        <v>1122.89</v>
      </c>
      <c r="O570" s="48"/>
      <c r="P570" s="48"/>
      <c r="Q570" s="48"/>
      <c r="R570" s="48"/>
      <c r="S570" s="48"/>
      <c r="T570" s="48"/>
      <c r="U570" s="48"/>
      <c r="V570" s="48"/>
      <c r="W570" s="48"/>
    </row>
    <row r="571" ht="32.9" customHeight="true" spans="1:23">
      <c r="A571" s="18"/>
      <c r="B571" s="18"/>
      <c r="C571" s="18" t="s">
        <v>838</v>
      </c>
      <c r="D571" s="18"/>
      <c r="E571" s="18"/>
      <c r="F571" s="18"/>
      <c r="G571" s="18"/>
      <c r="H571" s="18"/>
      <c r="I571" s="48">
        <v>46144.7</v>
      </c>
      <c r="J571" s="48"/>
      <c r="K571" s="48"/>
      <c r="L571" s="48"/>
      <c r="M571" s="48"/>
      <c r="N571" s="48">
        <v>46144.7</v>
      </c>
      <c r="O571" s="48"/>
      <c r="P571" s="48"/>
      <c r="Q571" s="48"/>
      <c r="R571" s="48"/>
      <c r="S571" s="48"/>
      <c r="T571" s="48"/>
      <c r="U571" s="48"/>
      <c r="V571" s="48"/>
      <c r="W571" s="48"/>
    </row>
    <row r="572" ht="32.9" customHeight="true" spans="1:23">
      <c r="A572" s="18" t="s">
        <v>567</v>
      </c>
      <c r="B572" s="155" t="s">
        <v>839</v>
      </c>
      <c r="C572" s="18" t="s">
        <v>838</v>
      </c>
      <c r="D572" s="18" t="s">
        <v>79</v>
      </c>
      <c r="E572" s="18" t="s">
        <v>108</v>
      </c>
      <c r="F572" s="18" t="s">
        <v>840</v>
      </c>
      <c r="G572" s="18" t="s">
        <v>275</v>
      </c>
      <c r="H572" s="18" t="s">
        <v>276</v>
      </c>
      <c r="I572" s="48">
        <v>3854.7</v>
      </c>
      <c r="J572" s="48"/>
      <c r="K572" s="48"/>
      <c r="L572" s="48"/>
      <c r="M572" s="48"/>
      <c r="N572" s="48">
        <v>3854.7</v>
      </c>
      <c r="O572" s="48"/>
      <c r="P572" s="48"/>
      <c r="Q572" s="48"/>
      <c r="R572" s="48"/>
      <c r="S572" s="48"/>
      <c r="T572" s="48"/>
      <c r="U572" s="48"/>
      <c r="V572" s="48"/>
      <c r="W572" s="48"/>
    </row>
    <row r="573" ht="32.9" customHeight="true" spans="1:23">
      <c r="A573" s="18" t="s">
        <v>567</v>
      </c>
      <c r="B573" s="155" t="s">
        <v>839</v>
      </c>
      <c r="C573" s="18" t="s">
        <v>838</v>
      </c>
      <c r="D573" s="18" t="s">
        <v>79</v>
      </c>
      <c r="E573" s="18" t="s">
        <v>108</v>
      </c>
      <c r="F573" s="18" t="s">
        <v>840</v>
      </c>
      <c r="G573" s="18" t="s">
        <v>277</v>
      </c>
      <c r="H573" s="18" t="s">
        <v>278</v>
      </c>
      <c r="I573" s="48">
        <v>18290</v>
      </c>
      <c r="J573" s="48"/>
      <c r="K573" s="48"/>
      <c r="L573" s="48"/>
      <c r="M573" s="48"/>
      <c r="N573" s="48">
        <v>18290</v>
      </c>
      <c r="O573" s="48"/>
      <c r="P573" s="48"/>
      <c r="Q573" s="48"/>
      <c r="R573" s="48"/>
      <c r="S573" s="48"/>
      <c r="T573" s="48"/>
      <c r="U573" s="48"/>
      <c r="V573" s="48"/>
      <c r="W573" s="48"/>
    </row>
    <row r="574" ht="32.9" customHeight="true" spans="1:23">
      <c r="A574" s="18" t="s">
        <v>567</v>
      </c>
      <c r="B574" s="155" t="s">
        <v>839</v>
      </c>
      <c r="C574" s="18" t="s">
        <v>838</v>
      </c>
      <c r="D574" s="18" t="s">
        <v>79</v>
      </c>
      <c r="E574" s="18" t="s">
        <v>108</v>
      </c>
      <c r="F574" s="18" t="s">
        <v>840</v>
      </c>
      <c r="G574" s="18" t="s">
        <v>625</v>
      </c>
      <c r="H574" s="18" t="s">
        <v>626</v>
      </c>
      <c r="I574" s="48">
        <v>12000</v>
      </c>
      <c r="J574" s="48"/>
      <c r="K574" s="48"/>
      <c r="L574" s="48"/>
      <c r="M574" s="48"/>
      <c r="N574" s="48">
        <v>12000</v>
      </c>
      <c r="O574" s="48"/>
      <c r="P574" s="48"/>
      <c r="Q574" s="48"/>
      <c r="R574" s="48"/>
      <c r="S574" s="48"/>
      <c r="T574" s="48"/>
      <c r="U574" s="48"/>
      <c r="V574" s="48"/>
      <c r="W574" s="48"/>
    </row>
    <row r="575" ht="32.9" customHeight="true" spans="1:23">
      <c r="A575" s="18" t="s">
        <v>567</v>
      </c>
      <c r="B575" s="155" t="s">
        <v>839</v>
      </c>
      <c r="C575" s="18" t="s">
        <v>838</v>
      </c>
      <c r="D575" s="18" t="s">
        <v>79</v>
      </c>
      <c r="E575" s="18" t="s">
        <v>108</v>
      </c>
      <c r="F575" s="18" t="s">
        <v>840</v>
      </c>
      <c r="G575" s="18" t="s">
        <v>316</v>
      </c>
      <c r="H575" s="18" t="s">
        <v>317</v>
      </c>
      <c r="I575" s="48">
        <v>12000</v>
      </c>
      <c r="J575" s="48"/>
      <c r="K575" s="48"/>
      <c r="L575" s="48"/>
      <c r="M575" s="48"/>
      <c r="N575" s="48">
        <v>12000</v>
      </c>
      <c r="O575" s="48"/>
      <c r="P575" s="48"/>
      <c r="Q575" s="48"/>
      <c r="R575" s="48"/>
      <c r="S575" s="48"/>
      <c r="T575" s="48"/>
      <c r="U575" s="48"/>
      <c r="V575" s="48"/>
      <c r="W575" s="48"/>
    </row>
    <row r="576" ht="32.9" customHeight="true" spans="1:23">
      <c r="A576" s="18"/>
      <c r="B576" s="18"/>
      <c r="C576" s="18" t="s">
        <v>841</v>
      </c>
      <c r="D576" s="18"/>
      <c r="E576" s="18"/>
      <c r="F576" s="18"/>
      <c r="G576" s="18"/>
      <c r="H576" s="18"/>
      <c r="I576" s="48">
        <v>163884.51</v>
      </c>
      <c r="J576" s="48"/>
      <c r="K576" s="48"/>
      <c r="L576" s="48"/>
      <c r="M576" s="48"/>
      <c r="N576" s="48">
        <v>163884.51</v>
      </c>
      <c r="O576" s="48"/>
      <c r="P576" s="48"/>
      <c r="Q576" s="48"/>
      <c r="R576" s="48"/>
      <c r="S576" s="48"/>
      <c r="T576" s="48"/>
      <c r="U576" s="48"/>
      <c r="V576" s="48"/>
      <c r="W576" s="48"/>
    </row>
    <row r="577" ht="32.9" customHeight="true" spans="1:23">
      <c r="A577" s="18" t="s">
        <v>559</v>
      </c>
      <c r="B577" s="155" t="s">
        <v>842</v>
      </c>
      <c r="C577" s="18" t="s">
        <v>841</v>
      </c>
      <c r="D577" s="18" t="s">
        <v>79</v>
      </c>
      <c r="E577" s="18" t="s">
        <v>132</v>
      </c>
      <c r="F577" s="18" t="s">
        <v>481</v>
      </c>
      <c r="G577" s="18" t="s">
        <v>314</v>
      </c>
      <c r="H577" s="18" t="s">
        <v>315</v>
      </c>
      <c r="I577" s="48">
        <v>76614.51</v>
      </c>
      <c r="J577" s="48"/>
      <c r="K577" s="48"/>
      <c r="L577" s="48"/>
      <c r="M577" s="48"/>
      <c r="N577" s="48">
        <v>76614.51</v>
      </c>
      <c r="O577" s="48"/>
      <c r="P577" s="48"/>
      <c r="Q577" s="48"/>
      <c r="R577" s="48"/>
      <c r="S577" s="48"/>
      <c r="T577" s="48"/>
      <c r="U577" s="48"/>
      <c r="V577" s="48"/>
      <c r="W577" s="48"/>
    </row>
    <row r="578" ht="32.9" customHeight="true" spans="1:23">
      <c r="A578" s="18" t="s">
        <v>559</v>
      </c>
      <c r="B578" s="155" t="s">
        <v>842</v>
      </c>
      <c r="C578" s="18" t="s">
        <v>841</v>
      </c>
      <c r="D578" s="18" t="s">
        <v>79</v>
      </c>
      <c r="E578" s="18" t="s">
        <v>132</v>
      </c>
      <c r="F578" s="18" t="s">
        <v>481</v>
      </c>
      <c r="G578" s="18" t="s">
        <v>629</v>
      </c>
      <c r="H578" s="18" t="s">
        <v>630</v>
      </c>
      <c r="I578" s="48">
        <v>87270</v>
      </c>
      <c r="J578" s="48"/>
      <c r="K578" s="48"/>
      <c r="L578" s="48"/>
      <c r="M578" s="48"/>
      <c r="N578" s="48">
        <v>87270</v>
      </c>
      <c r="O578" s="48"/>
      <c r="P578" s="48"/>
      <c r="Q578" s="48"/>
      <c r="R578" s="48"/>
      <c r="S578" s="48"/>
      <c r="T578" s="48"/>
      <c r="U578" s="48"/>
      <c r="V578" s="48"/>
      <c r="W578" s="48"/>
    </row>
    <row r="579" ht="32.9" customHeight="true" spans="1:23">
      <c r="A579" s="18"/>
      <c r="B579" s="18"/>
      <c r="C579" s="18" t="s">
        <v>843</v>
      </c>
      <c r="D579" s="18"/>
      <c r="E579" s="18"/>
      <c r="F579" s="18"/>
      <c r="G579" s="18"/>
      <c r="H579" s="18"/>
      <c r="I579" s="48">
        <v>2200000</v>
      </c>
      <c r="J579" s="48"/>
      <c r="K579" s="48"/>
      <c r="L579" s="48"/>
      <c r="M579" s="48"/>
      <c r="N579" s="48">
        <v>2200000</v>
      </c>
      <c r="O579" s="48"/>
      <c r="P579" s="48"/>
      <c r="Q579" s="48"/>
      <c r="R579" s="48"/>
      <c r="S579" s="48"/>
      <c r="T579" s="48"/>
      <c r="U579" s="48"/>
      <c r="V579" s="48"/>
      <c r="W579" s="48"/>
    </row>
    <row r="580" ht="32.9" customHeight="true" spans="1:23">
      <c r="A580" s="18" t="s">
        <v>559</v>
      </c>
      <c r="B580" s="155" t="s">
        <v>844</v>
      </c>
      <c r="C580" s="18" t="s">
        <v>843</v>
      </c>
      <c r="D580" s="18" t="s">
        <v>79</v>
      </c>
      <c r="E580" s="18" t="s">
        <v>132</v>
      </c>
      <c r="F580" s="18" t="s">
        <v>481</v>
      </c>
      <c r="G580" s="18" t="s">
        <v>314</v>
      </c>
      <c r="H580" s="18" t="s">
        <v>315</v>
      </c>
      <c r="I580" s="48">
        <v>1000000</v>
      </c>
      <c r="J580" s="48"/>
      <c r="K580" s="48"/>
      <c r="L580" s="48"/>
      <c r="M580" s="48"/>
      <c r="N580" s="48">
        <v>1000000</v>
      </c>
      <c r="O580" s="48"/>
      <c r="P580" s="48"/>
      <c r="Q580" s="48"/>
      <c r="R580" s="48"/>
      <c r="S580" s="48"/>
      <c r="T580" s="48"/>
      <c r="U580" s="48"/>
      <c r="V580" s="48"/>
      <c r="W580" s="48"/>
    </row>
    <row r="581" ht="32.9" customHeight="true" spans="1:23">
      <c r="A581" s="18" t="s">
        <v>559</v>
      </c>
      <c r="B581" s="155" t="s">
        <v>844</v>
      </c>
      <c r="C581" s="18" t="s">
        <v>843</v>
      </c>
      <c r="D581" s="18" t="s">
        <v>79</v>
      </c>
      <c r="E581" s="18" t="s">
        <v>132</v>
      </c>
      <c r="F581" s="18" t="s">
        <v>481</v>
      </c>
      <c r="G581" s="18" t="s">
        <v>631</v>
      </c>
      <c r="H581" s="18" t="s">
        <v>632</v>
      </c>
      <c r="I581" s="48">
        <v>1200000</v>
      </c>
      <c r="J581" s="48"/>
      <c r="K581" s="48"/>
      <c r="L581" s="48"/>
      <c r="M581" s="48"/>
      <c r="N581" s="48">
        <v>1200000</v>
      </c>
      <c r="O581" s="48"/>
      <c r="P581" s="48"/>
      <c r="Q581" s="48"/>
      <c r="R581" s="48"/>
      <c r="S581" s="48"/>
      <c r="T581" s="48"/>
      <c r="U581" s="48"/>
      <c r="V581" s="48"/>
      <c r="W581" s="48"/>
    </row>
    <row r="582" ht="32.9" customHeight="true" spans="1:23">
      <c r="A582" s="18"/>
      <c r="B582" s="18"/>
      <c r="C582" s="18" t="s">
        <v>845</v>
      </c>
      <c r="D582" s="18"/>
      <c r="E582" s="18"/>
      <c r="F582" s="18"/>
      <c r="G582" s="18"/>
      <c r="H582" s="18"/>
      <c r="I582" s="48">
        <v>89209911</v>
      </c>
      <c r="J582" s="48"/>
      <c r="K582" s="48"/>
      <c r="L582" s="48"/>
      <c r="M582" s="48"/>
      <c r="N582" s="48"/>
      <c r="O582" s="48"/>
      <c r="P582" s="48"/>
      <c r="Q582" s="48"/>
      <c r="R582" s="48">
        <v>89209911</v>
      </c>
      <c r="S582" s="48">
        <v>89209911</v>
      </c>
      <c r="T582" s="48"/>
      <c r="U582" s="48"/>
      <c r="V582" s="48"/>
      <c r="W582" s="48"/>
    </row>
    <row r="583" ht="32.9" customHeight="true" spans="1:23">
      <c r="A583" s="18" t="s">
        <v>559</v>
      </c>
      <c r="B583" s="155" t="s">
        <v>846</v>
      </c>
      <c r="C583" s="18" t="s">
        <v>845</v>
      </c>
      <c r="D583" s="18" t="s">
        <v>79</v>
      </c>
      <c r="E583" s="18" t="s">
        <v>130</v>
      </c>
      <c r="F583" s="18" t="s">
        <v>466</v>
      </c>
      <c r="G583" s="18" t="s">
        <v>625</v>
      </c>
      <c r="H583" s="18" t="s">
        <v>626</v>
      </c>
      <c r="I583" s="48">
        <v>55232611</v>
      </c>
      <c r="J583" s="48"/>
      <c r="K583" s="48"/>
      <c r="L583" s="48"/>
      <c r="M583" s="48"/>
      <c r="N583" s="48"/>
      <c r="O583" s="48"/>
      <c r="P583" s="48"/>
      <c r="Q583" s="48"/>
      <c r="R583" s="48">
        <v>55232611</v>
      </c>
      <c r="S583" s="48">
        <v>55232611</v>
      </c>
      <c r="T583" s="48"/>
      <c r="U583" s="48"/>
      <c r="V583" s="48"/>
      <c r="W583" s="48"/>
    </row>
    <row r="584" ht="32.9" customHeight="true" spans="1:23">
      <c r="A584" s="18" t="s">
        <v>559</v>
      </c>
      <c r="B584" s="155" t="s">
        <v>846</v>
      </c>
      <c r="C584" s="18" t="s">
        <v>845</v>
      </c>
      <c r="D584" s="18" t="s">
        <v>79</v>
      </c>
      <c r="E584" s="18" t="s">
        <v>130</v>
      </c>
      <c r="F584" s="18" t="s">
        <v>466</v>
      </c>
      <c r="G584" s="18" t="s">
        <v>847</v>
      </c>
      <c r="H584" s="18" t="s">
        <v>848</v>
      </c>
      <c r="I584" s="48">
        <v>32907300</v>
      </c>
      <c r="J584" s="48"/>
      <c r="K584" s="48"/>
      <c r="L584" s="48"/>
      <c r="M584" s="48"/>
      <c r="N584" s="48"/>
      <c r="O584" s="48"/>
      <c r="P584" s="48"/>
      <c r="Q584" s="48"/>
      <c r="R584" s="48">
        <v>32907300</v>
      </c>
      <c r="S584" s="48">
        <v>32907300</v>
      </c>
      <c r="T584" s="48"/>
      <c r="U584" s="48"/>
      <c r="V584" s="48"/>
      <c r="W584" s="48"/>
    </row>
    <row r="585" ht="32.9" customHeight="true" spans="1:23">
      <c r="A585" s="18" t="s">
        <v>559</v>
      </c>
      <c r="B585" s="155" t="s">
        <v>846</v>
      </c>
      <c r="C585" s="18" t="s">
        <v>845</v>
      </c>
      <c r="D585" s="18" t="s">
        <v>79</v>
      </c>
      <c r="E585" s="18" t="s">
        <v>130</v>
      </c>
      <c r="F585" s="18" t="s">
        <v>466</v>
      </c>
      <c r="G585" s="18" t="s">
        <v>629</v>
      </c>
      <c r="H585" s="18" t="s">
        <v>630</v>
      </c>
      <c r="I585" s="48">
        <v>1070000</v>
      </c>
      <c r="J585" s="48"/>
      <c r="K585" s="48"/>
      <c r="L585" s="48"/>
      <c r="M585" s="48"/>
      <c r="N585" s="48"/>
      <c r="O585" s="48"/>
      <c r="P585" s="48"/>
      <c r="Q585" s="48"/>
      <c r="R585" s="48">
        <v>1070000</v>
      </c>
      <c r="S585" s="48">
        <v>1070000</v>
      </c>
      <c r="T585" s="48"/>
      <c r="U585" s="48"/>
      <c r="V585" s="48"/>
      <c r="W585" s="48"/>
    </row>
    <row r="586" ht="32.9" customHeight="true" spans="1:23">
      <c r="A586" s="18"/>
      <c r="B586" s="18"/>
      <c r="C586" s="18" t="s">
        <v>849</v>
      </c>
      <c r="D586" s="18"/>
      <c r="E586" s="18"/>
      <c r="F586" s="18"/>
      <c r="G586" s="18"/>
      <c r="H586" s="18"/>
      <c r="I586" s="48">
        <v>26721.31</v>
      </c>
      <c r="J586" s="48"/>
      <c r="K586" s="48"/>
      <c r="L586" s="48"/>
      <c r="M586" s="48"/>
      <c r="N586" s="48">
        <v>26721.31</v>
      </c>
      <c r="O586" s="48"/>
      <c r="P586" s="48"/>
      <c r="Q586" s="48"/>
      <c r="R586" s="48"/>
      <c r="S586" s="48"/>
      <c r="T586" s="48"/>
      <c r="U586" s="48"/>
      <c r="V586" s="48"/>
      <c r="W586" s="48"/>
    </row>
    <row r="587" ht="32.9" customHeight="true" spans="1:23">
      <c r="A587" s="18" t="s">
        <v>559</v>
      </c>
      <c r="B587" s="155" t="s">
        <v>850</v>
      </c>
      <c r="C587" s="18" t="s">
        <v>849</v>
      </c>
      <c r="D587" s="18" t="s">
        <v>79</v>
      </c>
      <c r="E587" s="18" t="s">
        <v>142</v>
      </c>
      <c r="F587" s="18" t="s">
        <v>549</v>
      </c>
      <c r="G587" s="18" t="s">
        <v>277</v>
      </c>
      <c r="H587" s="18" t="s">
        <v>278</v>
      </c>
      <c r="I587" s="48">
        <v>6906</v>
      </c>
      <c r="J587" s="48"/>
      <c r="K587" s="48"/>
      <c r="L587" s="48"/>
      <c r="M587" s="48"/>
      <c r="N587" s="48">
        <v>6906</v>
      </c>
      <c r="O587" s="48"/>
      <c r="P587" s="48"/>
      <c r="Q587" s="48"/>
      <c r="R587" s="48"/>
      <c r="S587" s="48"/>
      <c r="T587" s="48"/>
      <c r="U587" s="48"/>
      <c r="V587" s="48"/>
      <c r="W587" s="48"/>
    </row>
    <row r="588" ht="32.9" customHeight="true" spans="1:23">
      <c r="A588" s="18" t="s">
        <v>559</v>
      </c>
      <c r="B588" s="155" t="s">
        <v>850</v>
      </c>
      <c r="C588" s="18" t="s">
        <v>849</v>
      </c>
      <c r="D588" s="18" t="s">
        <v>79</v>
      </c>
      <c r="E588" s="18" t="s">
        <v>142</v>
      </c>
      <c r="F588" s="18" t="s">
        <v>549</v>
      </c>
      <c r="G588" s="18" t="s">
        <v>281</v>
      </c>
      <c r="H588" s="18" t="s">
        <v>282</v>
      </c>
      <c r="I588" s="48">
        <v>12835.31</v>
      </c>
      <c r="J588" s="48"/>
      <c r="K588" s="48"/>
      <c r="L588" s="48"/>
      <c r="M588" s="48"/>
      <c r="N588" s="48">
        <v>12835.31</v>
      </c>
      <c r="O588" s="48"/>
      <c r="P588" s="48"/>
      <c r="Q588" s="48"/>
      <c r="R588" s="48"/>
      <c r="S588" s="48"/>
      <c r="T588" s="48"/>
      <c r="U588" s="48"/>
      <c r="V588" s="48"/>
      <c r="W588" s="48"/>
    </row>
    <row r="589" ht="32.9" customHeight="true" spans="1:23">
      <c r="A589" s="18" t="s">
        <v>559</v>
      </c>
      <c r="B589" s="155" t="s">
        <v>850</v>
      </c>
      <c r="C589" s="18" t="s">
        <v>849</v>
      </c>
      <c r="D589" s="18" t="s">
        <v>79</v>
      </c>
      <c r="E589" s="18" t="s">
        <v>142</v>
      </c>
      <c r="F589" s="18" t="s">
        <v>549</v>
      </c>
      <c r="G589" s="18" t="s">
        <v>316</v>
      </c>
      <c r="H589" s="18" t="s">
        <v>317</v>
      </c>
      <c r="I589" s="48">
        <v>2350</v>
      </c>
      <c r="J589" s="48"/>
      <c r="K589" s="48"/>
      <c r="L589" s="48"/>
      <c r="M589" s="48"/>
      <c r="N589" s="48">
        <v>2350</v>
      </c>
      <c r="O589" s="48"/>
      <c r="P589" s="48"/>
      <c r="Q589" s="48"/>
      <c r="R589" s="48"/>
      <c r="S589" s="48"/>
      <c r="T589" s="48"/>
      <c r="U589" s="48"/>
      <c r="V589" s="48"/>
      <c r="W589" s="48"/>
    </row>
    <row r="590" ht="32.9" customHeight="true" spans="1:23">
      <c r="A590" s="18" t="s">
        <v>559</v>
      </c>
      <c r="B590" s="155" t="s">
        <v>850</v>
      </c>
      <c r="C590" s="18" t="s">
        <v>849</v>
      </c>
      <c r="D590" s="18" t="s">
        <v>79</v>
      </c>
      <c r="E590" s="18" t="s">
        <v>142</v>
      </c>
      <c r="F590" s="18" t="s">
        <v>549</v>
      </c>
      <c r="G590" s="18" t="s">
        <v>283</v>
      </c>
      <c r="H590" s="18" t="s">
        <v>284</v>
      </c>
      <c r="I590" s="48">
        <v>4630</v>
      </c>
      <c r="J590" s="48"/>
      <c r="K590" s="48"/>
      <c r="L590" s="48"/>
      <c r="M590" s="48"/>
      <c r="N590" s="48">
        <v>4630</v>
      </c>
      <c r="O590" s="48"/>
      <c r="P590" s="48"/>
      <c r="Q590" s="48"/>
      <c r="R590" s="48"/>
      <c r="S590" s="48"/>
      <c r="T590" s="48"/>
      <c r="U590" s="48"/>
      <c r="V590" s="48"/>
      <c r="W590" s="48"/>
    </row>
    <row r="591" ht="32.9" customHeight="true" spans="1:23">
      <c r="A591" s="18"/>
      <c r="B591" s="18"/>
      <c r="C591" s="18" t="s">
        <v>851</v>
      </c>
      <c r="D591" s="18"/>
      <c r="E591" s="18"/>
      <c r="F591" s="18"/>
      <c r="G591" s="18"/>
      <c r="H591" s="18"/>
      <c r="I591" s="48">
        <v>38090</v>
      </c>
      <c r="J591" s="48"/>
      <c r="K591" s="48"/>
      <c r="L591" s="48"/>
      <c r="M591" s="48"/>
      <c r="N591" s="48">
        <v>38090</v>
      </c>
      <c r="O591" s="48"/>
      <c r="P591" s="48"/>
      <c r="Q591" s="48"/>
      <c r="R591" s="48"/>
      <c r="S591" s="48"/>
      <c r="T591" s="48"/>
      <c r="U591" s="48"/>
      <c r="V591" s="48"/>
      <c r="W591" s="48"/>
    </row>
    <row r="592" ht="32.9" customHeight="true" spans="1:23">
      <c r="A592" s="18" t="s">
        <v>567</v>
      </c>
      <c r="B592" s="155" t="s">
        <v>852</v>
      </c>
      <c r="C592" s="18" t="s">
        <v>851</v>
      </c>
      <c r="D592" s="18" t="s">
        <v>79</v>
      </c>
      <c r="E592" s="18" t="s">
        <v>130</v>
      </c>
      <c r="F592" s="18" t="s">
        <v>466</v>
      </c>
      <c r="G592" s="18" t="s">
        <v>281</v>
      </c>
      <c r="H592" s="18" t="s">
        <v>282</v>
      </c>
      <c r="I592" s="48">
        <v>21290</v>
      </c>
      <c r="J592" s="48"/>
      <c r="K592" s="48"/>
      <c r="L592" s="48"/>
      <c r="M592" s="48"/>
      <c r="N592" s="48">
        <v>21290</v>
      </c>
      <c r="O592" s="48"/>
      <c r="P592" s="48"/>
      <c r="Q592" s="48"/>
      <c r="R592" s="48"/>
      <c r="S592" s="48"/>
      <c r="T592" s="48"/>
      <c r="U592" s="48"/>
      <c r="V592" s="48"/>
      <c r="W592" s="48"/>
    </row>
    <row r="593" ht="32.9" customHeight="true" spans="1:23">
      <c r="A593" s="18" t="s">
        <v>567</v>
      </c>
      <c r="B593" s="155" t="s">
        <v>852</v>
      </c>
      <c r="C593" s="18" t="s">
        <v>851</v>
      </c>
      <c r="D593" s="18" t="s">
        <v>79</v>
      </c>
      <c r="E593" s="18" t="s">
        <v>130</v>
      </c>
      <c r="F593" s="18" t="s">
        <v>466</v>
      </c>
      <c r="G593" s="18" t="s">
        <v>438</v>
      </c>
      <c r="H593" s="18" t="s">
        <v>439</v>
      </c>
      <c r="I593" s="48">
        <v>16800</v>
      </c>
      <c r="J593" s="48"/>
      <c r="K593" s="48"/>
      <c r="L593" s="48"/>
      <c r="M593" s="48"/>
      <c r="N593" s="48">
        <v>16800</v>
      </c>
      <c r="O593" s="48"/>
      <c r="P593" s="48"/>
      <c r="Q593" s="48"/>
      <c r="R593" s="48"/>
      <c r="S593" s="48"/>
      <c r="T593" s="48"/>
      <c r="U593" s="48"/>
      <c r="V593" s="48"/>
      <c r="W593" s="48"/>
    </row>
    <row r="594" ht="32.9" customHeight="true" spans="1:23">
      <c r="A594" s="18"/>
      <c r="B594" s="18"/>
      <c r="C594" s="18" t="s">
        <v>853</v>
      </c>
      <c r="D594" s="18"/>
      <c r="E594" s="18"/>
      <c r="F594" s="18"/>
      <c r="G594" s="18"/>
      <c r="H594" s="18"/>
      <c r="I594" s="48">
        <v>383475</v>
      </c>
      <c r="J594" s="48"/>
      <c r="K594" s="48"/>
      <c r="L594" s="48"/>
      <c r="M594" s="48"/>
      <c r="N594" s="48">
        <v>383475</v>
      </c>
      <c r="O594" s="48"/>
      <c r="P594" s="48"/>
      <c r="Q594" s="48"/>
      <c r="R594" s="48"/>
      <c r="S594" s="48"/>
      <c r="T594" s="48"/>
      <c r="U594" s="48"/>
      <c r="V594" s="48"/>
      <c r="W594" s="48"/>
    </row>
    <row r="595" ht="32.9" customHeight="true" spans="1:23">
      <c r="A595" s="18" t="s">
        <v>559</v>
      </c>
      <c r="B595" s="155" t="s">
        <v>854</v>
      </c>
      <c r="C595" s="18" t="s">
        <v>853</v>
      </c>
      <c r="D595" s="18" t="s">
        <v>79</v>
      </c>
      <c r="E595" s="18" t="s">
        <v>142</v>
      </c>
      <c r="F595" s="18" t="s">
        <v>549</v>
      </c>
      <c r="G595" s="18" t="s">
        <v>277</v>
      </c>
      <c r="H595" s="18" t="s">
        <v>278</v>
      </c>
      <c r="I595" s="48">
        <v>27700</v>
      </c>
      <c r="J595" s="48"/>
      <c r="K595" s="48"/>
      <c r="L595" s="48"/>
      <c r="M595" s="48"/>
      <c r="N595" s="48">
        <v>27700</v>
      </c>
      <c r="O595" s="48"/>
      <c r="P595" s="48"/>
      <c r="Q595" s="48"/>
      <c r="R595" s="48"/>
      <c r="S595" s="48"/>
      <c r="T595" s="48"/>
      <c r="U595" s="48"/>
      <c r="V595" s="48"/>
      <c r="W595" s="48"/>
    </row>
    <row r="596" ht="32.9" customHeight="true" spans="1:23">
      <c r="A596" s="18" t="s">
        <v>559</v>
      </c>
      <c r="B596" s="155" t="s">
        <v>854</v>
      </c>
      <c r="C596" s="18" t="s">
        <v>853</v>
      </c>
      <c r="D596" s="18" t="s">
        <v>79</v>
      </c>
      <c r="E596" s="18" t="s">
        <v>142</v>
      </c>
      <c r="F596" s="18" t="s">
        <v>549</v>
      </c>
      <c r="G596" s="18" t="s">
        <v>281</v>
      </c>
      <c r="H596" s="18" t="s">
        <v>282</v>
      </c>
      <c r="I596" s="48">
        <v>144068</v>
      </c>
      <c r="J596" s="48"/>
      <c r="K596" s="48"/>
      <c r="L596" s="48"/>
      <c r="M596" s="48"/>
      <c r="N596" s="48">
        <v>144068</v>
      </c>
      <c r="O596" s="48"/>
      <c r="P596" s="48"/>
      <c r="Q596" s="48"/>
      <c r="R596" s="48"/>
      <c r="S596" s="48"/>
      <c r="T596" s="48"/>
      <c r="U596" s="48"/>
      <c r="V596" s="48"/>
      <c r="W596" s="48"/>
    </row>
    <row r="597" ht="32.9" customHeight="true" spans="1:23">
      <c r="A597" s="18" t="s">
        <v>559</v>
      </c>
      <c r="B597" s="155" t="s">
        <v>854</v>
      </c>
      <c r="C597" s="18" t="s">
        <v>853</v>
      </c>
      <c r="D597" s="18" t="s">
        <v>79</v>
      </c>
      <c r="E597" s="18" t="s">
        <v>142</v>
      </c>
      <c r="F597" s="18" t="s">
        <v>549</v>
      </c>
      <c r="G597" s="18" t="s">
        <v>625</v>
      </c>
      <c r="H597" s="18" t="s">
        <v>626</v>
      </c>
      <c r="I597" s="48">
        <v>10069.8</v>
      </c>
      <c r="J597" s="48"/>
      <c r="K597" s="48"/>
      <c r="L597" s="48"/>
      <c r="M597" s="48"/>
      <c r="N597" s="48">
        <v>10069.8</v>
      </c>
      <c r="O597" s="48"/>
      <c r="P597" s="48"/>
      <c r="Q597" s="48"/>
      <c r="R597" s="48"/>
      <c r="S597" s="48"/>
      <c r="T597" s="48"/>
      <c r="U597" s="48"/>
      <c r="V597" s="48"/>
      <c r="W597" s="48"/>
    </row>
    <row r="598" ht="32.9" customHeight="true" spans="1:23">
      <c r="A598" s="18" t="s">
        <v>559</v>
      </c>
      <c r="B598" s="155" t="s">
        <v>854</v>
      </c>
      <c r="C598" s="18" t="s">
        <v>853</v>
      </c>
      <c r="D598" s="18" t="s">
        <v>79</v>
      </c>
      <c r="E598" s="18" t="s">
        <v>142</v>
      </c>
      <c r="F598" s="18" t="s">
        <v>549</v>
      </c>
      <c r="G598" s="18" t="s">
        <v>316</v>
      </c>
      <c r="H598" s="18" t="s">
        <v>317</v>
      </c>
      <c r="I598" s="48">
        <v>51700</v>
      </c>
      <c r="J598" s="48"/>
      <c r="K598" s="48"/>
      <c r="L598" s="48"/>
      <c r="M598" s="48"/>
      <c r="N598" s="48">
        <v>51700</v>
      </c>
      <c r="O598" s="48"/>
      <c r="P598" s="48"/>
      <c r="Q598" s="48"/>
      <c r="R598" s="48"/>
      <c r="S598" s="48"/>
      <c r="T598" s="48"/>
      <c r="U598" s="48"/>
      <c r="V598" s="48"/>
      <c r="W598" s="48"/>
    </row>
    <row r="599" ht="32.9" customHeight="true" spans="1:23">
      <c r="A599" s="18" t="s">
        <v>559</v>
      </c>
      <c r="B599" s="155" t="s">
        <v>854</v>
      </c>
      <c r="C599" s="18" t="s">
        <v>853</v>
      </c>
      <c r="D599" s="18" t="s">
        <v>79</v>
      </c>
      <c r="E599" s="18" t="s">
        <v>142</v>
      </c>
      <c r="F599" s="18" t="s">
        <v>549</v>
      </c>
      <c r="G599" s="18" t="s">
        <v>283</v>
      </c>
      <c r="H599" s="18" t="s">
        <v>284</v>
      </c>
      <c r="I599" s="48">
        <v>80000</v>
      </c>
      <c r="J599" s="48"/>
      <c r="K599" s="48"/>
      <c r="L599" s="48"/>
      <c r="M599" s="48"/>
      <c r="N599" s="48">
        <v>80000</v>
      </c>
      <c r="O599" s="48"/>
      <c r="P599" s="48"/>
      <c r="Q599" s="48"/>
      <c r="R599" s="48"/>
      <c r="S599" s="48"/>
      <c r="T599" s="48"/>
      <c r="U599" s="48"/>
      <c r="V599" s="48"/>
      <c r="W599" s="48"/>
    </row>
    <row r="600" ht="32.9" customHeight="true" spans="1:23">
      <c r="A600" s="18" t="s">
        <v>559</v>
      </c>
      <c r="B600" s="155" t="s">
        <v>854</v>
      </c>
      <c r="C600" s="18" t="s">
        <v>853</v>
      </c>
      <c r="D600" s="18" t="s">
        <v>79</v>
      </c>
      <c r="E600" s="18" t="s">
        <v>142</v>
      </c>
      <c r="F600" s="18" t="s">
        <v>549</v>
      </c>
      <c r="G600" s="18" t="s">
        <v>266</v>
      </c>
      <c r="H600" s="18" t="s">
        <v>267</v>
      </c>
      <c r="I600" s="48">
        <v>3455</v>
      </c>
      <c r="J600" s="48"/>
      <c r="K600" s="48"/>
      <c r="L600" s="48"/>
      <c r="M600" s="48"/>
      <c r="N600" s="48">
        <v>3455</v>
      </c>
      <c r="O600" s="48"/>
      <c r="P600" s="48"/>
      <c r="Q600" s="48"/>
      <c r="R600" s="48"/>
      <c r="S600" s="48"/>
      <c r="T600" s="48"/>
      <c r="U600" s="48"/>
      <c r="V600" s="48"/>
      <c r="W600" s="48"/>
    </row>
    <row r="601" ht="32.9" customHeight="true" spans="1:23">
      <c r="A601" s="18" t="s">
        <v>559</v>
      </c>
      <c r="B601" s="155" t="s">
        <v>854</v>
      </c>
      <c r="C601" s="18" t="s">
        <v>853</v>
      </c>
      <c r="D601" s="18" t="s">
        <v>79</v>
      </c>
      <c r="E601" s="18" t="s">
        <v>142</v>
      </c>
      <c r="F601" s="18" t="s">
        <v>549</v>
      </c>
      <c r="G601" s="18" t="s">
        <v>273</v>
      </c>
      <c r="H601" s="18" t="s">
        <v>274</v>
      </c>
      <c r="I601" s="48">
        <v>66482.2</v>
      </c>
      <c r="J601" s="48"/>
      <c r="K601" s="48"/>
      <c r="L601" s="48"/>
      <c r="M601" s="48"/>
      <c r="N601" s="48">
        <v>66482.2</v>
      </c>
      <c r="O601" s="48"/>
      <c r="P601" s="48"/>
      <c r="Q601" s="48"/>
      <c r="R601" s="48"/>
      <c r="S601" s="48"/>
      <c r="T601" s="48"/>
      <c r="U601" s="48"/>
      <c r="V601" s="48"/>
      <c r="W601" s="48"/>
    </row>
    <row r="602" ht="32.9" customHeight="true" spans="1:23">
      <c r="A602" s="18"/>
      <c r="B602" s="18"/>
      <c r="C602" s="18" t="s">
        <v>855</v>
      </c>
      <c r="D602" s="18"/>
      <c r="E602" s="18"/>
      <c r="F602" s="18"/>
      <c r="G602" s="18"/>
      <c r="H602" s="18"/>
      <c r="I602" s="48">
        <v>7577250</v>
      </c>
      <c r="J602" s="48"/>
      <c r="K602" s="48"/>
      <c r="L602" s="48"/>
      <c r="M602" s="48"/>
      <c r="N602" s="48">
        <v>7577250</v>
      </c>
      <c r="O602" s="48"/>
      <c r="P602" s="48"/>
      <c r="Q602" s="48"/>
      <c r="R602" s="48"/>
      <c r="S602" s="48"/>
      <c r="T602" s="48"/>
      <c r="U602" s="48"/>
      <c r="V602" s="48"/>
      <c r="W602" s="48"/>
    </row>
    <row r="603" ht="32.9" customHeight="true" spans="1:23">
      <c r="A603" s="18" t="s">
        <v>559</v>
      </c>
      <c r="B603" s="155" t="s">
        <v>856</v>
      </c>
      <c r="C603" s="18" t="s">
        <v>855</v>
      </c>
      <c r="D603" s="18" t="s">
        <v>79</v>
      </c>
      <c r="E603" s="18" t="s">
        <v>126</v>
      </c>
      <c r="F603" s="18" t="s">
        <v>542</v>
      </c>
      <c r="G603" s="18" t="s">
        <v>316</v>
      </c>
      <c r="H603" s="18" t="s">
        <v>317</v>
      </c>
      <c r="I603" s="48">
        <v>527250</v>
      </c>
      <c r="J603" s="48"/>
      <c r="K603" s="48"/>
      <c r="L603" s="48"/>
      <c r="M603" s="48"/>
      <c r="N603" s="48">
        <v>527250</v>
      </c>
      <c r="O603" s="48"/>
      <c r="P603" s="48"/>
      <c r="Q603" s="48"/>
      <c r="R603" s="48"/>
      <c r="S603" s="48"/>
      <c r="T603" s="48"/>
      <c r="U603" s="48"/>
      <c r="V603" s="48"/>
      <c r="W603" s="48"/>
    </row>
    <row r="604" ht="32.9" customHeight="true" spans="1:23">
      <c r="A604" s="18" t="s">
        <v>559</v>
      </c>
      <c r="B604" s="155" t="s">
        <v>856</v>
      </c>
      <c r="C604" s="18" t="s">
        <v>855</v>
      </c>
      <c r="D604" s="18" t="s">
        <v>79</v>
      </c>
      <c r="E604" s="18" t="s">
        <v>126</v>
      </c>
      <c r="F604" s="18" t="s">
        <v>542</v>
      </c>
      <c r="G604" s="18" t="s">
        <v>283</v>
      </c>
      <c r="H604" s="18" t="s">
        <v>284</v>
      </c>
      <c r="I604" s="48">
        <v>2050000</v>
      </c>
      <c r="J604" s="48"/>
      <c r="K604" s="48"/>
      <c r="L604" s="48"/>
      <c r="M604" s="48"/>
      <c r="N604" s="48">
        <v>2050000</v>
      </c>
      <c r="O604" s="48"/>
      <c r="P604" s="48"/>
      <c r="Q604" s="48"/>
      <c r="R604" s="48"/>
      <c r="S604" s="48"/>
      <c r="T604" s="48"/>
      <c r="U604" s="48"/>
      <c r="V604" s="48"/>
      <c r="W604" s="48"/>
    </row>
    <row r="605" ht="32.9" customHeight="true" spans="1:23">
      <c r="A605" s="18" t="s">
        <v>559</v>
      </c>
      <c r="B605" s="155" t="s">
        <v>856</v>
      </c>
      <c r="C605" s="18" t="s">
        <v>855</v>
      </c>
      <c r="D605" s="18" t="s">
        <v>79</v>
      </c>
      <c r="E605" s="18" t="s">
        <v>126</v>
      </c>
      <c r="F605" s="18" t="s">
        <v>542</v>
      </c>
      <c r="G605" s="18" t="s">
        <v>631</v>
      </c>
      <c r="H605" s="18" t="s">
        <v>632</v>
      </c>
      <c r="I605" s="48">
        <v>5000000</v>
      </c>
      <c r="J605" s="48"/>
      <c r="K605" s="48"/>
      <c r="L605" s="48"/>
      <c r="M605" s="48"/>
      <c r="N605" s="48">
        <v>5000000</v>
      </c>
      <c r="O605" s="48"/>
      <c r="P605" s="48"/>
      <c r="Q605" s="48"/>
      <c r="R605" s="48"/>
      <c r="S605" s="48"/>
      <c r="T605" s="48"/>
      <c r="U605" s="48"/>
      <c r="V605" s="48"/>
      <c r="W605" s="48"/>
    </row>
    <row r="606" ht="32.9" customHeight="true" spans="1:23">
      <c r="A606" s="18"/>
      <c r="B606" s="18"/>
      <c r="C606" s="18" t="s">
        <v>857</v>
      </c>
      <c r="D606" s="18"/>
      <c r="E606" s="18"/>
      <c r="F606" s="18"/>
      <c r="G606" s="18"/>
      <c r="H606" s="18"/>
      <c r="I606" s="48">
        <v>34000</v>
      </c>
      <c r="J606" s="48"/>
      <c r="K606" s="48"/>
      <c r="L606" s="48"/>
      <c r="M606" s="48"/>
      <c r="N606" s="48">
        <v>34000</v>
      </c>
      <c r="O606" s="48"/>
      <c r="P606" s="48"/>
      <c r="Q606" s="48"/>
      <c r="R606" s="48"/>
      <c r="S606" s="48"/>
      <c r="T606" s="48"/>
      <c r="U606" s="48"/>
      <c r="V606" s="48"/>
      <c r="W606" s="48"/>
    </row>
    <row r="607" ht="32.9" customHeight="true" spans="1:23">
      <c r="A607" s="18" t="s">
        <v>559</v>
      </c>
      <c r="B607" s="155" t="s">
        <v>858</v>
      </c>
      <c r="C607" s="18" t="s">
        <v>857</v>
      </c>
      <c r="D607" s="18" t="s">
        <v>79</v>
      </c>
      <c r="E607" s="18" t="s">
        <v>154</v>
      </c>
      <c r="F607" s="18" t="s">
        <v>569</v>
      </c>
      <c r="G607" s="18" t="s">
        <v>631</v>
      </c>
      <c r="H607" s="18" t="s">
        <v>632</v>
      </c>
      <c r="I607" s="48">
        <v>34000</v>
      </c>
      <c r="J607" s="48"/>
      <c r="K607" s="48"/>
      <c r="L607" s="48"/>
      <c r="M607" s="48"/>
      <c r="N607" s="48">
        <v>34000</v>
      </c>
      <c r="O607" s="48"/>
      <c r="P607" s="48"/>
      <c r="Q607" s="48"/>
      <c r="R607" s="48"/>
      <c r="S607" s="48"/>
      <c r="T607" s="48"/>
      <c r="U607" s="48"/>
      <c r="V607" s="48"/>
      <c r="W607" s="48"/>
    </row>
    <row r="608" ht="32.9" customHeight="true" spans="1:23">
      <c r="A608" s="18"/>
      <c r="B608" s="18"/>
      <c r="C608" s="18" t="s">
        <v>859</v>
      </c>
      <c r="D608" s="18"/>
      <c r="E608" s="18"/>
      <c r="F608" s="18"/>
      <c r="G608" s="18"/>
      <c r="H608" s="18"/>
      <c r="I608" s="48">
        <v>8000</v>
      </c>
      <c r="J608" s="48"/>
      <c r="K608" s="48"/>
      <c r="L608" s="48"/>
      <c r="M608" s="48"/>
      <c r="N608" s="48">
        <v>8000</v>
      </c>
      <c r="O608" s="48"/>
      <c r="P608" s="48"/>
      <c r="Q608" s="48"/>
      <c r="R608" s="48"/>
      <c r="S608" s="48"/>
      <c r="T608" s="48"/>
      <c r="U608" s="48"/>
      <c r="V608" s="48"/>
      <c r="W608" s="48"/>
    </row>
    <row r="609" ht="32.9" customHeight="true" spans="1:23">
      <c r="A609" s="18" t="s">
        <v>567</v>
      </c>
      <c r="B609" s="155" t="s">
        <v>860</v>
      </c>
      <c r="C609" s="18" t="s">
        <v>859</v>
      </c>
      <c r="D609" s="18" t="s">
        <v>79</v>
      </c>
      <c r="E609" s="18" t="s">
        <v>154</v>
      </c>
      <c r="F609" s="18" t="s">
        <v>569</v>
      </c>
      <c r="G609" s="18" t="s">
        <v>275</v>
      </c>
      <c r="H609" s="18" t="s">
        <v>276</v>
      </c>
      <c r="I609" s="48">
        <v>8000</v>
      </c>
      <c r="J609" s="48"/>
      <c r="K609" s="48"/>
      <c r="L609" s="48"/>
      <c r="M609" s="48"/>
      <c r="N609" s="48">
        <v>8000</v>
      </c>
      <c r="O609" s="48"/>
      <c r="P609" s="48"/>
      <c r="Q609" s="48"/>
      <c r="R609" s="48"/>
      <c r="S609" s="48"/>
      <c r="T609" s="48"/>
      <c r="U609" s="48"/>
      <c r="V609" s="48"/>
      <c r="W609" s="48"/>
    </row>
    <row r="610" ht="32.9" customHeight="true" spans="1:23">
      <c r="A610" s="18"/>
      <c r="B610" s="18"/>
      <c r="C610" s="18" t="s">
        <v>861</v>
      </c>
      <c r="D610" s="18"/>
      <c r="E610" s="18"/>
      <c r="F610" s="18"/>
      <c r="G610" s="18"/>
      <c r="H610" s="18"/>
      <c r="I610" s="48">
        <v>8600</v>
      </c>
      <c r="J610" s="48"/>
      <c r="K610" s="48"/>
      <c r="L610" s="48"/>
      <c r="M610" s="48"/>
      <c r="N610" s="48">
        <v>8600</v>
      </c>
      <c r="O610" s="48"/>
      <c r="P610" s="48"/>
      <c r="Q610" s="48"/>
      <c r="R610" s="48"/>
      <c r="S610" s="48"/>
      <c r="T610" s="48"/>
      <c r="U610" s="48"/>
      <c r="V610" s="48"/>
      <c r="W610" s="48"/>
    </row>
    <row r="611" ht="32.9" customHeight="true" spans="1:23">
      <c r="A611" s="18" t="s">
        <v>559</v>
      </c>
      <c r="B611" s="155" t="s">
        <v>862</v>
      </c>
      <c r="C611" s="18" t="s">
        <v>861</v>
      </c>
      <c r="D611" s="18" t="s">
        <v>79</v>
      </c>
      <c r="E611" s="18" t="s">
        <v>142</v>
      </c>
      <c r="F611" s="18" t="s">
        <v>549</v>
      </c>
      <c r="G611" s="18" t="s">
        <v>266</v>
      </c>
      <c r="H611" s="18" t="s">
        <v>267</v>
      </c>
      <c r="I611" s="48">
        <v>8600</v>
      </c>
      <c r="J611" s="48"/>
      <c r="K611" s="48"/>
      <c r="L611" s="48"/>
      <c r="M611" s="48"/>
      <c r="N611" s="48">
        <v>8600</v>
      </c>
      <c r="O611" s="48"/>
      <c r="P611" s="48"/>
      <c r="Q611" s="48"/>
      <c r="R611" s="48"/>
      <c r="S611" s="48"/>
      <c r="T611" s="48"/>
      <c r="U611" s="48"/>
      <c r="V611" s="48"/>
      <c r="W611" s="48"/>
    </row>
    <row r="612" ht="32.9" customHeight="true" spans="1:23">
      <c r="A612" s="18"/>
      <c r="B612" s="18"/>
      <c r="C612" s="18" t="s">
        <v>863</v>
      </c>
      <c r="D612" s="18"/>
      <c r="E612" s="18"/>
      <c r="F612" s="18"/>
      <c r="G612" s="18"/>
      <c r="H612" s="18"/>
      <c r="I612" s="48">
        <v>346150</v>
      </c>
      <c r="J612" s="48"/>
      <c r="K612" s="48"/>
      <c r="L612" s="48"/>
      <c r="M612" s="48"/>
      <c r="N612" s="48">
        <v>346150</v>
      </c>
      <c r="O612" s="48"/>
      <c r="P612" s="48"/>
      <c r="Q612" s="48"/>
      <c r="R612" s="48"/>
      <c r="S612" s="48"/>
      <c r="T612" s="48"/>
      <c r="U612" s="48"/>
      <c r="V612" s="48"/>
      <c r="W612" s="48"/>
    </row>
    <row r="613" ht="32.9" customHeight="true" spans="1:23">
      <c r="A613" s="18" t="s">
        <v>567</v>
      </c>
      <c r="B613" s="155" t="s">
        <v>864</v>
      </c>
      <c r="C613" s="18" t="s">
        <v>863</v>
      </c>
      <c r="D613" s="18" t="s">
        <v>79</v>
      </c>
      <c r="E613" s="18" t="s">
        <v>142</v>
      </c>
      <c r="F613" s="18" t="s">
        <v>549</v>
      </c>
      <c r="G613" s="18" t="s">
        <v>275</v>
      </c>
      <c r="H613" s="18" t="s">
        <v>276</v>
      </c>
      <c r="I613" s="48">
        <v>6770</v>
      </c>
      <c r="J613" s="48"/>
      <c r="K613" s="48"/>
      <c r="L613" s="48"/>
      <c r="M613" s="48"/>
      <c r="N613" s="48">
        <v>6770</v>
      </c>
      <c r="O613" s="48"/>
      <c r="P613" s="48"/>
      <c r="Q613" s="48"/>
      <c r="R613" s="48"/>
      <c r="S613" s="48"/>
      <c r="T613" s="48"/>
      <c r="U613" s="48"/>
      <c r="V613" s="48"/>
      <c r="W613" s="48"/>
    </row>
    <row r="614" ht="32.9" customHeight="true" spans="1:23">
      <c r="A614" s="18" t="s">
        <v>567</v>
      </c>
      <c r="B614" s="155" t="s">
        <v>864</v>
      </c>
      <c r="C614" s="18" t="s">
        <v>863</v>
      </c>
      <c r="D614" s="18" t="s">
        <v>79</v>
      </c>
      <c r="E614" s="18" t="s">
        <v>142</v>
      </c>
      <c r="F614" s="18" t="s">
        <v>549</v>
      </c>
      <c r="G614" s="18" t="s">
        <v>283</v>
      </c>
      <c r="H614" s="18" t="s">
        <v>284</v>
      </c>
      <c r="I614" s="48">
        <v>199380</v>
      </c>
      <c r="J614" s="48"/>
      <c r="K614" s="48"/>
      <c r="L614" s="48"/>
      <c r="M614" s="48"/>
      <c r="N614" s="48">
        <v>199380</v>
      </c>
      <c r="O614" s="48"/>
      <c r="P614" s="48"/>
      <c r="Q614" s="48"/>
      <c r="R614" s="48"/>
      <c r="S614" s="48"/>
      <c r="T614" s="48"/>
      <c r="U614" s="48"/>
      <c r="V614" s="48"/>
      <c r="W614" s="48"/>
    </row>
    <row r="615" ht="32.9" customHeight="true" spans="1:23">
      <c r="A615" s="18" t="s">
        <v>567</v>
      </c>
      <c r="B615" s="155" t="s">
        <v>864</v>
      </c>
      <c r="C615" s="18" t="s">
        <v>863</v>
      </c>
      <c r="D615" s="18" t="s">
        <v>79</v>
      </c>
      <c r="E615" s="18" t="s">
        <v>142</v>
      </c>
      <c r="F615" s="18" t="s">
        <v>549</v>
      </c>
      <c r="G615" s="18" t="s">
        <v>629</v>
      </c>
      <c r="H615" s="18" t="s">
        <v>630</v>
      </c>
      <c r="I615" s="48">
        <v>140000</v>
      </c>
      <c r="J615" s="48"/>
      <c r="K615" s="48"/>
      <c r="L615" s="48"/>
      <c r="M615" s="48"/>
      <c r="N615" s="48">
        <v>140000</v>
      </c>
      <c r="O615" s="48"/>
      <c r="P615" s="48"/>
      <c r="Q615" s="48"/>
      <c r="R615" s="48"/>
      <c r="S615" s="48"/>
      <c r="T615" s="48"/>
      <c r="U615" s="48"/>
      <c r="V615" s="48"/>
      <c r="W615" s="48"/>
    </row>
    <row r="616" ht="32.9" customHeight="true" spans="1:23">
      <c r="A616" s="18"/>
      <c r="B616" s="18"/>
      <c r="C616" s="18" t="s">
        <v>865</v>
      </c>
      <c r="D616" s="18"/>
      <c r="E616" s="18"/>
      <c r="F616" s="18"/>
      <c r="G616" s="18"/>
      <c r="H616" s="18"/>
      <c r="I616" s="48">
        <v>50000</v>
      </c>
      <c r="J616" s="48"/>
      <c r="K616" s="48"/>
      <c r="L616" s="48"/>
      <c r="M616" s="48"/>
      <c r="N616" s="48">
        <v>50000</v>
      </c>
      <c r="O616" s="48"/>
      <c r="P616" s="48"/>
      <c r="Q616" s="48"/>
      <c r="R616" s="48"/>
      <c r="S616" s="48"/>
      <c r="T616" s="48"/>
      <c r="U616" s="48"/>
      <c r="V616" s="48"/>
      <c r="W616" s="48"/>
    </row>
    <row r="617" ht="32.9" customHeight="true" spans="1:23">
      <c r="A617" s="18" t="s">
        <v>559</v>
      </c>
      <c r="B617" s="155" t="s">
        <v>866</v>
      </c>
      <c r="C617" s="18" t="s">
        <v>865</v>
      </c>
      <c r="D617" s="18" t="s">
        <v>79</v>
      </c>
      <c r="E617" s="18" t="s">
        <v>108</v>
      </c>
      <c r="F617" s="18" t="s">
        <v>840</v>
      </c>
      <c r="G617" s="18" t="s">
        <v>625</v>
      </c>
      <c r="H617" s="18" t="s">
        <v>626</v>
      </c>
      <c r="I617" s="48">
        <v>5000</v>
      </c>
      <c r="J617" s="48"/>
      <c r="K617" s="48"/>
      <c r="L617" s="48"/>
      <c r="M617" s="48"/>
      <c r="N617" s="48">
        <v>5000</v>
      </c>
      <c r="O617" s="48"/>
      <c r="P617" s="48"/>
      <c r="Q617" s="48"/>
      <c r="R617" s="48"/>
      <c r="S617" s="48"/>
      <c r="T617" s="48"/>
      <c r="U617" s="48"/>
      <c r="V617" s="48"/>
      <c r="W617" s="48"/>
    </row>
    <row r="618" ht="32.9" customHeight="true" spans="1:23">
      <c r="A618" s="18" t="s">
        <v>559</v>
      </c>
      <c r="B618" s="155" t="s">
        <v>866</v>
      </c>
      <c r="C618" s="18" t="s">
        <v>865</v>
      </c>
      <c r="D618" s="18" t="s">
        <v>79</v>
      </c>
      <c r="E618" s="18" t="s">
        <v>108</v>
      </c>
      <c r="F618" s="18" t="s">
        <v>840</v>
      </c>
      <c r="G618" s="18" t="s">
        <v>283</v>
      </c>
      <c r="H618" s="18" t="s">
        <v>284</v>
      </c>
      <c r="I618" s="48">
        <v>45000</v>
      </c>
      <c r="J618" s="48"/>
      <c r="K618" s="48"/>
      <c r="L618" s="48"/>
      <c r="M618" s="48"/>
      <c r="N618" s="48">
        <v>45000</v>
      </c>
      <c r="O618" s="48"/>
      <c r="P618" s="48"/>
      <c r="Q618" s="48"/>
      <c r="R618" s="48"/>
      <c r="S618" s="48"/>
      <c r="T618" s="48"/>
      <c r="U618" s="48"/>
      <c r="V618" s="48"/>
      <c r="W618" s="48"/>
    </row>
    <row r="619" ht="32.9" customHeight="true" spans="1:23">
      <c r="A619" s="18"/>
      <c r="B619" s="18"/>
      <c r="C619" s="18" t="s">
        <v>867</v>
      </c>
      <c r="D619" s="18"/>
      <c r="E619" s="18"/>
      <c r="F619" s="18"/>
      <c r="G619" s="18"/>
      <c r="H619" s="18"/>
      <c r="I619" s="48">
        <v>121173.41</v>
      </c>
      <c r="J619" s="48"/>
      <c r="K619" s="48"/>
      <c r="L619" s="48"/>
      <c r="M619" s="48"/>
      <c r="N619" s="48">
        <v>121173.41</v>
      </c>
      <c r="O619" s="48"/>
      <c r="P619" s="48"/>
      <c r="Q619" s="48"/>
      <c r="R619" s="48"/>
      <c r="S619" s="48"/>
      <c r="T619" s="48"/>
      <c r="U619" s="48"/>
      <c r="V619" s="48"/>
      <c r="W619" s="48"/>
    </row>
    <row r="620" ht="32.9" customHeight="true" spans="1:23">
      <c r="A620" s="18" t="s">
        <v>559</v>
      </c>
      <c r="B620" s="155" t="s">
        <v>868</v>
      </c>
      <c r="C620" s="18" t="s">
        <v>867</v>
      </c>
      <c r="D620" s="18" t="s">
        <v>81</v>
      </c>
      <c r="E620" s="18" t="s">
        <v>154</v>
      </c>
      <c r="F620" s="18" t="s">
        <v>569</v>
      </c>
      <c r="G620" s="18" t="s">
        <v>341</v>
      </c>
      <c r="H620" s="18" t="s">
        <v>342</v>
      </c>
      <c r="I620" s="48">
        <v>32300</v>
      </c>
      <c r="J620" s="48"/>
      <c r="K620" s="48"/>
      <c r="L620" s="48"/>
      <c r="M620" s="48"/>
      <c r="N620" s="48">
        <v>32300</v>
      </c>
      <c r="O620" s="48"/>
      <c r="P620" s="48"/>
      <c r="Q620" s="48"/>
      <c r="R620" s="48"/>
      <c r="S620" s="48"/>
      <c r="T620" s="48"/>
      <c r="U620" s="48"/>
      <c r="V620" s="48"/>
      <c r="W620" s="48"/>
    </row>
    <row r="621" ht="32.9" customHeight="true" spans="1:23">
      <c r="A621" s="18" t="s">
        <v>559</v>
      </c>
      <c r="B621" s="155" t="s">
        <v>868</v>
      </c>
      <c r="C621" s="18" t="s">
        <v>867</v>
      </c>
      <c r="D621" s="18" t="s">
        <v>81</v>
      </c>
      <c r="E621" s="18" t="s">
        <v>154</v>
      </c>
      <c r="F621" s="18" t="s">
        <v>569</v>
      </c>
      <c r="G621" s="18" t="s">
        <v>277</v>
      </c>
      <c r="H621" s="18" t="s">
        <v>278</v>
      </c>
      <c r="I621" s="48">
        <v>33958</v>
      </c>
      <c r="J621" s="48"/>
      <c r="K621" s="48"/>
      <c r="L621" s="48"/>
      <c r="M621" s="48"/>
      <c r="N621" s="48">
        <v>33958</v>
      </c>
      <c r="O621" s="48"/>
      <c r="P621" s="48"/>
      <c r="Q621" s="48"/>
      <c r="R621" s="48"/>
      <c r="S621" s="48"/>
      <c r="T621" s="48"/>
      <c r="U621" s="48"/>
      <c r="V621" s="48"/>
      <c r="W621" s="48"/>
    </row>
    <row r="622" ht="32.9" customHeight="true" spans="1:23">
      <c r="A622" s="18" t="s">
        <v>559</v>
      </c>
      <c r="B622" s="155" t="s">
        <v>868</v>
      </c>
      <c r="C622" s="18" t="s">
        <v>867</v>
      </c>
      <c r="D622" s="18" t="s">
        <v>81</v>
      </c>
      <c r="E622" s="18" t="s">
        <v>154</v>
      </c>
      <c r="F622" s="18" t="s">
        <v>569</v>
      </c>
      <c r="G622" s="18" t="s">
        <v>316</v>
      </c>
      <c r="H622" s="18" t="s">
        <v>317</v>
      </c>
      <c r="I622" s="48">
        <v>52415.41</v>
      </c>
      <c r="J622" s="48"/>
      <c r="K622" s="48"/>
      <c r="L622" s="48"/>
      <c r="M622" s="48"/>
      <c r="N622" s="48">
        <v>52415.41</v>
      </c>
      <c r="O622" s="48"/>
      <c r="P622" s="48"/>
      <c r="Q622" s="48"/>
      <c r="R622" s="48"/>
      <c r="S622" s="48"/>
      <c r="T622" s="48"/>
      <c r="U622" s="48"/>
      <c r="V622" s="48"/>
      <c r="W622" s="48"/>
    </row>
    <row r="623" ht="32.9" customHeight="true" spans="1:23">
      <c r="A623" s="18" t="s">
        <v>559</v>
      </c>
      <c r="B623" s="155" t="s">
        <v>868</v>
      </c>
      <c r="C623" s="18" t="s">
        <v>867</v>
      </c>
      <c r="D623" s="18" t="s">
        <v>81</v>
      </c>
      <c r="E623" s="18" t="s">
        <v>154</v>
      </c>
      <c r="F623" s="18" t="s">
        <v>569</v>
      </c>
      <c r="G623" s="18" t="s">
        <v>287</v>
      </c>
      <c r="H623" s="18" t="s">
        <v>288</v>
      </c>
      <c r="I623" s="48">
        <v>2500</v>
      </c>
      <c r="J623" s="48"/>
      <c r="K623" s="48"/>
      <c r="L623" s="48"/>
      <c r="M623" s="48"/>
      <c r="N623" s="48">
        <v>2500</v>
      </c>
      <c r="O623" s="48"/>
      <c r="P623" s="48"/>
      <c r="Q623" s="48"/>
      <c r="R623" s="48"/>
      <c r="S623" s="48"/>
      <c r="T623" s="48"/>
      <c r="U623" s="48"/>
      <c r="V623" s="48"/>
      <c r="W623" s="48"/>
    </row>
    <row r="624" ht="32.9" customHeight="true" spans="1:23">
      <c r="A624" s="18"/>
      <c r="B624" s="18"/>
      <c r="C624" s="18" t="s">
        <v>869</v>
      </c>
      <c r="D624" s="18"/>
      <c r="E624" s="18"/>
      <c r="F624" s="18"/>
      <c r="G624" s="18"/>
      <c r="H624" s="18"/>
      <c r="I624" s="48">
        <v>1813300</v>
      </c>
      <c r="J624" s="48"/>
      <c r="K624" s="48"/>
      <c r="L624" s="48"/>
      <c r="M624" s="48"/>
      <c r="N624" s="48"/>
      <c r="O624" s="48"/>
      <c r="P624" s="48"/>
      <c r="Q624" s="48"/>
      <c r="R624" s="48">
        <v>1813300</v>
      </c>
      <c r="S624" s="48">
        <v>1813300</v>
      </c>
      <c r="T624" s="48"/>
      <c r="U624" s="48"/>
      <c r="V624" s="48"/>
      <c r="W624" s="48"/>
    </row>
    <row r="625" ht="32.9" customHeight="true" spans="1:23">
      <c r="A625" s="18" t="s">
        <v>559</v>
      </c>
      <c r="B625" s="155" t="s">
        <v>870</v>
      </c>
      <c r="C625" s="18" t="s">
        <v>869</v>
      </c>
      <c r="D625" s="18" t="s">
        <v>81</v>
      </c>
      <c r="E625" s="18" t="s">
        <v>139</v>
      </c>
      <c r="F625" s="18" t="s">
        <v>476</v>
      </c>
      <c r="G625" s="18" t="s">
        <v>871</v>
      </c>
      <c r="H625" s="18" t="s">
        <v>872</v>
      </c>
      <c r="I625" s="48">
        <v>5000</v>
      </c>
      <c r="J625" s="48"/>
      <c r="K625" s="48"/>
      <c r="L625" s="48"/>
      <c r="M625" s="48"/>
      <c r="N625" s="48"/>
      <c r="O625" s="48"/>
      <c r="P625" s="48"/>
      <c r="Q625" s="48"/>
      <c r="R625" s="48">
        <v>5000</v>
      </c>
      <c r="S625" s="48">
        <v>5000</v>
      </c>
      <c r="T625" s="48"/>
      <c r="U625" s="48"/>
      <c r="V625" s="48"/>
      <c r="W625" s="48"/>
    </row>
    <row r="626" ht="32.9" customHeight="true" spans="1:23">
      <c r="A626" s="18" t="s">
        <v>559</v>
      </c>
      <c r="B626" s="155" t="s">
        <v>870</v>
      </c>
      <c r="C626" s="18" t="s">
        <v>869</v>
      </c>
      <c r="D626" s="18" t="s">
        <v>81</v>
      </c>
      <c r="E626" s="18" t="s">
        <v>139</v>
      </c>
      <c r="F626" s="18" t="s">
        <v>476</v>
      </c>
      <c r="G626" s="18" t="s">
        <v>310</v>
      </c>
      <c r="H626" s="18" t="s">
        <v>311</v>
      </c>
      <c r="I626" s="48">
        <v>65000</v>
      </c>
      <c r="J626" s="48"/>
      <c r="K626" s="48"/>
      <c r="L626" s="48"/>
      <c r="M626" s="48"/>
      <c r="N626" s="48"/>
      <c r="O626" s="48"/>
      <c r="P626" s="48"/>
      <c r="Q626" s="48"/>
      <c r="R626" s="48">
        <v>65000</v>
      </c>
      <c r="S626" s="48">
        <v>65000</v>
      </c>
      <c r="T626" s="48"/>
      <c r="U626" s="48"/>
      <c r="V626" s="48"/>
      <c r="W626" s="48"/>
    </row>
    <row r="627" ht="32.9" customHeight="true" spans="1:23">
      <c r="A627" s="18" t="s">
        <v>559</v>
      </c>
      <c r="B627" s="155" t="s">
        <v>870</v>
      </c>
      <c r="C627" s="18" t="s">
        <v>869</v>
      </c>
      <c r="D627" s="18" t="s">
        <v>81</v>
      </c>
      <c r="E627" s="18" t="s">
        <v>139</v>
      </c>
      <c r="F627" s="18" t="s">
        <v>476</v>
      </c>
      <c r="G627" s="18" t="s">
        <v>331</v>
      </c>
      <c r="H627" s="18" t="s">
        <v>330</v>
      </c>
      <c r="I627" s="48">
        <v>65000</v>
      </c>
      <c r="J627" s="48"/>
      <c r="K627" s="48"/>
      <c r="L627" s="48"/>
      <c r="M627" s="48"/>
      <c r="N627" s="48"/>
      <c r="O627" s="48"/>
      <c r="P627" s="48"/>
      <c r="Q627" s="48"/>
      <c r="R627" s="48">
        <v>65000</v>
      </c>
      <c r="S627" s="48">
        <v>65000</v>
      </c>
      <c r="T627" s="48"/>
      <c r="U627" s="48"/>
      <c r="V627" s="48"/>
      <c r="W627" s="48"/>
    </row>
    <row r="628" ht="32.9" customHeight="true" spans="1:23">
      <c r="A628" s="18" t="s">
        <v>559</v>
      </c>
      <c r="B628" s="155" t="s">
        <v>870</v>
      </c>
      <c r="C628" s="18" t="s">
        <v>869</v>
      </c>
      <c r="D628" s="18" t="s">
        <v>81</v>
      </c>
      <c r="E628" s="18" t="s">
        <v>139</v>
      </c>
      <c r="F628" s="18" t="s">
        <v>476</v>
      </c>
      <c r="G628" s="18" t="s">
        <v>277</v>
      </c>
      <c r="H628" s="18" t="s">
        <v>278</v>
      </c>
      <c r="I628" s="48">
        <v>400000</v>
      </c>
      <c r="J628" s="48"/>
      <c r="K628" s="48"/>
      <c r="L628" s="48"/>
      <c r="M628" s="48"/>
      <c r="N628" s="48"/>
      <c r="O628" s="48"/>
      <c r="P628" s="48"/>
      <c r="Q628" s="48"/>
      <c r="R628" s="48">
        <v>400000</v>
      </c>
      <c r="S628" s="48">
        <v>400000</v>
      </c>
      <c r="T628" s="48"/>
      <c r="U628" s="48"/>
      <c r="V628" s="48"/>
      <c r="W628" s="48"/>
    </row>
    <row r="629" ht="32.9" customHeight="true" spans="1:23">
      <c r="A629" s="18" t="s">
        <v>559</v>
      </c>
      <c r="B629" s="155" t="s">
        <v>870</v>
      </c>
      <c r="C629" s="18" t="s">
        <v>869</v>
      </c>
      <c r="D629" s="18" t="s">
        <v>81</v>
      </c>
      <c r="E629" s="18" t="s">
        <v>139</v>
      </c>
      <c r="F629" s="18" t="s">
        <v>476</v>
      </c>
      <c r="G629" s="18" t="s">
        <v>279</v>
      </c>
      <c r="H629" s="18" t="s">
        <v>280</v>
      </c>
      <c r="I629" s="48">
        <v>18300</v>
      </c>
      <c r="J629" s="48"/>
      <c r="K629" s="48"/>
      <c r="L629" s="48"/>
      <c r="M629" s="48"/>
      <c r="N629" s="48"/>
      <c r="O629" s="48"/>
      <c r="P629" s="48"/>
      <c r="Q629" s="48"/>
      <c r="R629" s="48">
        <v>18300</v>
      </c>
      <c r="S629" s="48">
        <v>18300</v>
      </c>
      <c r="T629" s="48"/>
      <c r="U629" s="48"/>
      <c r="V629" s="48"/>
      <c r="W629" s="48"/>
    </row>
    <row r="630" ht="32.9" customHeight="true" spans="1:23">
      <c r="A630" s="18" t="s">
        <v>559</v>
      </c>
      <c r="B630" s="155" t="s">
        <v>870</v>
      </c>
      <c r="C630" s="18" t="s">
        <v>869</v>
      </c>
      <c r="D630" s="18" t="s">
        <v>81</v>
      </c>
      <c r="E630" s="18" t="s">
        <v>139</v>
      </c>
      <c r="F630" s="18" t="s">
        <v>476</v>
      </c>
      <c r="G630" s="18" t="s">
        <v>281</v>
      </c>
      <c r="H630" s="18" t="s">
        <v>282</v>
      </c>
      <c r="I630" s="48">
        <v>60000</v>
      </c>
      <c r="J630" s="48"/>
      <c r="K630" s="48"/>
      <c r="L630" s="48"/>
      <c r="M630" s="48"/>
      <c r="N630" s="48"/>
      <c r="O630" s="48"/>
      <c r="P630" s="48"/>
      <c r="Q630" s="48"/>
      <c r="R630" s="48">
        <v>60000</v>
      </c>
      <c r="S630" s="48">
        <v>60000</v>
      </c>
      <c r="T630" s="48"/>
      <c r="U630" s="48"/>
      <c r="V630" s="48"/>
      <c r="W630" s="48"/>
    </row>
    <row r="631" ht="32.9" customHeight="true" spans="1:23">
      <c r="A631" s="18" t="s">
        <v>559</v>
      </c>
      <c r="B631" s="155" t="s">
        <v>870</v>
      </c>
      <c r="C631" s="18" t="s">
        <v>869</v>
      </c>
      <c r="D631" s="18" t="s">
        <v>81</v>
      </c>
      <c r="E631" s="18" t="s">
        <v>139</v>
      </c>
      <c r="F631" s="18" t="s">
        <v>476</v>
      </c>
      <c r="G631" s="18" t="s">
        <v>290</v>
      </c>
      <c r="H631" s="18" t="s">
        <v>193</v>
      </c>
      <c r="I631" s="48">
        <v>18000</v>
      </c>
      <c r="J631" s="48"/>
      <c r="K631" s="48"/>
      <c r="L631" s="48"/>
      <c r="M631" s="48"/>
      <c r="N631" s="48"/>
      <c r="O631" s="48"/>
      <c r="P631" s="48"/>
      <c r="Q631" s="48"/>
      <c r="R631" s="48">
        <v>18000</v>
      </c>
      <c r="S631" s="48">
        <v>18000</v>
      </c>
      <c r="T631" s="48"/>
      <c r="U631" s="48"/>
      <c r="V631" s="48"/>
      <c r="W631" s="48"/>
    </row>
    <row r="632" ht="32.9" customHeight="true" spans="1:23">
      <c r="A632" s="18" t="s">
        <v>559</v>
      </c>
      <c r="B632" s="155" t="s">
        <v>870</v>
      </c>
      <c r="C632" s="18" t="s">
        <v>869</v>
      </c>
      <c r="D632" s="18" t="s">
        <v>81</v>
      </c>
      <c r="E632" s="18" t="s">
        <v>139</v>
      </c>
      <c r="F632" s="18" t="s">
        <v>476</v>
      </c>
      <c r="G632" s="18" t="s">
        <v>625</v>
      </c>
      <c r="H632" s="18" t="s">
        <v>626</v>
      </c>
      <c r="I632" s="48">
        <v>300000</v>
      </c>
      <c r="J632" s="48"/>
      <c r="K632" s="48"/>
      <c r="L632" s="48"/>
      <c r="M632" s="48"/>
      <c r="N632" s="48"/>
      <c r="O632" s="48"/>
      <c r="P632" s="48"/>
      <c r="Q632" s="48"/>
      <c r="R632" s="48">
        <v>300000</v>
      </c>
      <c r="S632" s="48">
        <v>300000</v>
      </c>
      <c r="T632" s="48"/>
      <c r="U632" s="48"/>
      <c r="V632" s="48"/>
      <c r="W632" s="48"/>
    </row>
    <row r="633" ht="32.9" customHeight="true" spans="1:23">
      <c r="A633" s="18" t="s">
        <v>559</v>
      </c>
      <c r="B633" s="155" t="s">
        <v>870</v>
      </c>
      <c r="C633" s="18" t="s">
        <v>869</v>
      </c>
      <c r="D633" s="18" t="s">
        <v>81</v>
      </c>
      <c r="E633" s="18" t="s">
        <v>139</v>
      </c>
      <c r="F633" s="18" t="s">
        <v>476</v>
      </c>
      <c r="G633" s="18" t="s">
        <v>316</v>
      </c>
      <c r="H633" s="18" t="s">
        <v>317</v>
      </c>
      <c r="I633" s="48">
        <v>100000</v>
      </c>
      <c r="J633" s="48"/>
      <c r="K633" s="48"/>
      <c r="L633" s="48"/>
      <c r="M633" s="48"/>
      <c r="N633" s="48"/>
      <c r="O633" s="48"/>
      <c r="P633" s="48"/>
      <c r="Q633" s="48"/>
      <c r="R633" s="48">
        <v>100000</v>
      </c>
      <c r="S633" s="48">
        <v>100000</v>
      </c>
      <c r="T633" s="48"/>
      <c r="U633" s="48"/>
      <c r="V633" s="48"/>
      <c r="W633" s="48"/>
    </row>
    <row r="634" ht="32.9" customHeight="true" spans="1:23">
      <c r="A634" s="18" t="s">
        <v>559</v>
      </c>
      <c r="B634" s="155" t="s">
        <v>870</v>
      </c>
      <c r="C634" s="18" t="s">
        <v>869</v>
      </c>
      <c r="D634" s="18" t="s">
        <v>81</v>
      </c>
      <c r="E634" s="18" t="s">
        <v>139</v>
      </c>
      <c r="F634" s="18" t="s">
        <v>476</v>
      </c>
      <c r="G634" s="18" t="s">
        <v>283</v>
      </c>
      <c r="H634" s="18" t="s">
        <v>284</v>
      </c>
      <c r="I634" s="48">
        <v>362000</v>
      </c>
      <c r="J634" s="48"/>
      <c r="K634" s="48"/>
      <c r="L634" s="48"/>
      <c r="M634" s="48"/>
      <c r="N634" s="48"/>
      <c r="O634" s="48"/>
      <c r="P634" s="48"/>
      <c r="Q634" s="48"/>
      <c r="R634" s="48">
        <v>362000</v>
      </c>
      <c r="S634" s="48">
        <v>362000</v>
      </c>
      <c r="T634" s="48"/>
      <c r="U634" s="48"/>
      <c r="V634" s="48"/>
      <c r="W634" s="48"/>
    </row>
    <row r="635" ht="32.9" customHeight="true" spans="1:23">
      <c r="A635" s="18" t="s">
        <v>559</v>
      </c>
      <c r="B635" s="155" t="s">
        <v>870</v>
      </c>
      <c r="C635" s="18" t="s">
        <v>869</v>
      </c>
      <c r="D635" s="18" t="s">
        <v>81</v>
      </c>
      <c r="E635" s="18" t="s">
        <v>139</v>
      </c>
      <c r="F635" s="18" t="s">
        <v>476</v>
      </c>
      <c r="G635" s="18" t="s">
        <v>262</v>
      </c>
      <c r="H635" s="18" t="s">
        <v>263</v>
      </c>
      <c r="I635" s="48">
        <v>380000</v>
      </c>
      <c r="J635" s="48"/>
      <c r="K635" s="48"/>
      <c r="L635" s="48"/>
      <c r="M635" s="48"/>
      <c r="N635" s="48"/>
      <c r="O635" s="48"/>
      <c r="P635" s="48"/>
      <c r="Q635" s="48"/>
      <c r="R635" s="48">
        <v>380000</v>
      </c>
      <c r="S635" s="48">
        <v>380000</v>
      </c>
      <c r="T635" s="48"/>
      <c r="U635" s="48"/>
      <c r="V635" s="48"/>
      <c r="W635" s="48"/>
    </row>
    <row r="636" ht="32.9" customHeight="true" spans="1:23">
      <c r="A636" s="18" t="s">
        <v>559</v>
      </c>
      <c r="B636" s="155" t="s">
        <v>870</v>
      </c>
      <c r="C636" s="18" t="s">
        <v>869</v>
      </c>
      <c r="D636" s="18" t="s">
        <v>81</v>
      </c>
      <c r="E636" s="18" t="s">
        <v>139</v>
      </c>
      <c r="F636" s="18" t="s">
        <v>476</v>
      </c>
      <c r="G636" s="18" t="s">
        <v>273</v>
      </c>
      <c r="H636" s="18" t="s">
        <v>274</v>
      </c>
      <c r="I636" s="48">
        <v>40000</v>
      </c>
      <c r="J636" s="48"/>
      <c r="K636" s="48"/>
      <c r="L636" s="48"/>
      <c r="M636" s="48"/>
      <c r="N636" s="48"/>
      <c r="O636" s="48"/>
      <c r="P636" s="48"/>
      <c r="Q636" s="48"/>
      <c r="R636" s="48">
        <v>40000</v>
      </c>
      <c r="S636" s="48">
        <v>40000</v>
      </c>
      <c r="T636" s="48"/>
      <c r="U636" s="48"/>
      <c r="V636" s="48"/>
      <c r="W636" s="48"/>
    </row>
    <row r="637" ht="32.9" customHeight="true" spans="1:23">
      <c r="A637" s="18"/>
      <c r="B637" s="18"/>
      <c r="C637" s="18" t="s">
        <v>873</v>
      </c>
      <c r="D637" s="18"/>
      <c r="E637" s="18"/>
      <c r="F637" s="18"/>
      <c r="G637" s="18"/>
      <c r="H637" s="18"/>
      <c r="I637" s="48">
        <v>8032212.6</v>
      </c>
      <c r="J637" s="48"/>
      <c r="K637" s="48"/>
      <c r="L637" s="48"/>
      <c r="M637" s="48"/>
      <c r="N637" s="48">
        <v>8032212.6</v>
      </c>
      <c r="O637" s="48"/>
      <c r="P637" s="48"/>
      <c r="Q637" s="48"/>
      <c r="R637" s="48"/>
      <c r="S637" s="48"/>
      <c r="T637" s="48"/>
      <c r="U637" s="48"/>
      <c r="V637" s="48"/>
      <c r="W637" s="48"/>
    </row>
    <row r="638" ht="32.9" customHeight="true" spans="1:23">
      <c r="A638" s="18" t="s">
        <v>559</v>
      </c>
      <c r="B638" s="155" t="s">
        <v>874</v>
      </c>
      <c r="C638" s="18" t="s">
        <v>873</v>
      </c>
      <c r="D638" s="18" t="s">
        <v>81</v>
      </c>
      <c r="E638" s="18" t="s">
        <v>126</v>
      </c>
      <c r="F638" s="18" t="s">
        <v>542</v>
      </c>
      <c r="G638" s="18" t="s">
        <v>314</v>
      </c>
      <c r="H638" s="18" t="s">
        <v>315</v>
      </c>
      <c r="I638" s="48">
        <v>105100</v>
      </c>
      <c r="J638" s="48"/>
      <c r="K638" s="48"/>
      <c r="L638" s="48"/>
      <c r="M638" s="48"/>
      <c r="N638" s="48">
        <v>105100</v>
      </c>
      <c r="O638" s="48"/>
      <c r="P638" s="48"/>
      <c r="Q638" s="48"/>
      <c r="R638" s="48"/>
      <c r="S638" s="48"/>
      <c r="T638" s="48"/>
      <c r="U638" s="48"/>
      <c r="V638" s="48"/>
      <c r="W638" s="48"/>
    </row>
    <row r="639" ht="32.9" customHeight="true" spans="1:23">
      <c r="A639" s="18" t="s">
        <v>559</v>
      </c>
      <c r="B639" s="155" t="s">
        <v>874</v>
      </c>
      <c r="C639" s="18" t="s">
        <v>873</v>
      </c>
      <c r="D639" s="18" t="s">
        <v>81</v>
      </c>
      <c r="E639" s="18" t="s">
        <v>126</v>
      </c>
      <c r="F639" s="18" t="s">
        <v>542</v>
      </c>
      <c r="G639" s="18" t="s">
        <v>281</v>
      </c>
      <c r="H639" s="18" t="s">
        <v>282</v>
      </c>
      <c r="I639" s="48">
        <v>90000</v>
      </c>
      <c r="J639" s="48"/>
      <c r="K639" s="48"/>
      <c r="L639" s="48"/>
      <c r="M639" s="48"/>
      <c r="N639" s="48">
        <v>90000</v>
      </c>
      <c r="O639" s="48"/>
      <c r="P639" s="48"/>
      <c r="Q639" s="48"/>
      <c r="R639" s="48"/>
      <c r="S639" s="48"/>
      <c r="T639" s="48"/>
      <c r="U639" s="48"/>
      <c r="V639" s="48"/>
      <c r="W639" s="48"/>
    </row>
    <row r="640" ht="32.9" customHeight="true" spans="1:23">
      <c r="A640" s="18" t="s">
        <v>559</v>
      </c>
      <c r="B640" s="155" t="s">
        <v>874</v>
      </c>
      <c r="C640" s="18" t="s">
        <v>873</v>
      </c>
      <c r="D640" s="18" t="s">
        <v>81</v>
      </c>
      <c r="E640" s="18" t="s">
        <v>126</v>
      </c>
      <c r="F640" s="18" t="s">
        <v>542</v>
      </c>
      <c r="G640" s="18" t="s">
        <v>316</v>
      </c>
      <c r="H640" s="18" t="s">
        <v>317</v>
      </c>
      <c r="I640" s="48">
        <v>20000</v>
      </c>
      <c r="J640" s="48"/>
      <c r="K640" s="48"/>
      <c r="L640" s="48"/>
      <c r="M640" s="48"/>
      <c r="N640" s="48">
        <v>20000</v>
      </c>
      <c r="O640" s="48"/>
      <c r="P640" s="48"/>
      <c r="Q640" s="48"/>
      <c r="R640" s="48"/>
      <c r="S640" s="48"/>
      <c r="T640" s="48"/>
      <c r="U640" s="48"/>
      <c r="V640" s="48"/>
      <c r="W640" s="48"/>
    </row>
    <row r="641" ht="32.9" customHeight="true" spans="1:23">
      <c r="A641" s="18" t="s">
        <v>559</v>
      </c>
      <c r="B641" s="155" t="s">
        <v>874</v>
      </c>
      <c r="C641" s="18" t="s">
        <v>873</v>
      </c>
      <c r="D641" s="18" t="s">
        <v>81</v>
      </c>
      <c r="E641" s="18" t="s">
        <v>126</v>
      </c>
      <c r="F641" s="18" t="s">
        <v>542</v>
      </c>
      <c r="G641" s="18" t="s">
        <v>283</v>
      </c>
      <c r="H641" s="18" t="s">
        <v>284</v>
      </c>
      <c r="I641" s="48">
        <v>39920</v>
      </c>
      <c r="J641" s="48"/>
      <c r="K641" s="48"/>
      <c r="L641" s="48"/>
      <c r="M641" s="48"/>
      <c r="N641" s="48">
        <v>39920</v>
      </c>
      <c r="O641" s="48"/>
      <c r="P641" s="48"/>
      <c r="Q641" s="48"/>
      <c r="R641" s="48"/>
      <c r="S641" s="48"/>
      <c r="T641" s="48"/>
      <c r="U641" s="48"/>
      <c r="V641" s="48"/>
      <c r="W641" s="48"/>
    </row>
    <row r="642" ht="32.9" customHeight="true" spans="1:23">
      <c r="A642" s="18" t="s">
        <v>559</v>
      </c>
      <c r="B642" s="155" t="s">
        <v>874</v>
      </c>
      <c r="C642" s="18" t="s">
        <v>873</v>
      </c>
      <c r="D642" s="18" t="s">
        <v>81</v>
      </c>
      <c r="E642" s="18" t="s">
        <v>126</v>
      </c>
      <c r="F642" s="18" t="s">
        <v>542</v>
      </c>
      <c r="G642" s="18" t="s">
        <v>629</v>
      </c>
      <c r="H642" s="18" t="s">
        <v>630</v>
      </c>
      <c r="I642" s="48">
        <v>223740</v>
      </c>
      <c r="J642" s="48"/>
      <c r="K642" s="48"/>
      <c r="L642" s="48"/>
      <c r="M642" s="48"/>
      <c r="N642" s="48">
        <v>223740</v>
      </c>
      <c r="O642" s="48"/>
      <c r="P642" s="48"/>
      <c r="Q642" s="48"/>
      <c r="R642" s="48"/>
      <c r="S642" s="48"/>
      <c r="T642" s="48"/>
      <c r="U642" s="48"/>
      <c r="V642" s="48"/>
      <c r="W642" s="48"/>
    </row>
    <row r="643" ht="32.9" customHeight="true" spans="1:23">
      <c r="A643" s="18" t="s">
        <v>559</v>
      </c>
      <c r="B643" s="155" t="s">
        <v>874</v>
      </c>
      <c r="C643" s="18" t="s">
        <v>873</v>
      </c>
      <c r="D643" s="18" t="s">
        <v>81</v>
      </c>
      <c r="E643" s="18" t="s">
        <v>126</v>
      </c>
      <c r="F643" s="18" t="s">
        <v>542</v>
      </c>
      <c r="G643" s="18" t="s">
        <v>631</v>
      </c>
      <c r="H643" s="18" t="s">
        <v>632</v>
      </c>
      <c r="I643" s="48">
        <v>70980</v>
      </c>
      <c r="J643" s="48"/>
      <c r="K643" s="48"/>
      <c r="L643" s="48"/>
      <c r="M643" s="48"/>
      <c r="N643" s="48">
        <v>70980</v>
      </c>
      <c r="O643" s="48"/>
      <c r="P643" s="48"/>
      <c r="Q643" s="48"/>
      <c r="R643" s="48"/>
      <c r="S643" s="48"/>
      <c r="T643" s="48"/>
      <c r="U643" s="48"/>
      <c r="V643" s="48"/>
      <c r="W643" s="48"/>
    </row>
    <row r="644" ht="32.9" customHeight="true" spans="1:23">
      <c r="A644" s="18" t="s">
        <v>559</v>
      </c>
      <c r="B644" s="155" t="s">
        <v>874</v>
      </c>
      <c r="C644" s="18" t="s">
        <v>873</v>
      </c>
      <c r="D644" s="18" t="s">
        <v>81</v>
      </c>
      <c r="E644" s="18" t="s">
        <v>132</v>
      </c>
      <c r="F644" s="18" t="s">
        <v>481</v>
      </c>
      <c r="G644" s="18" t="s">
        <v>312</v>
      </c>
      <c r="H644" s="18" t="s">
        <v>313</v>
      </c>
      <c r="I644" s="48">
        <v>282300</v>
      </c>
      <c r="J644" s="48"/>
      <c r="K644" s="48"/>
      <c r="L644" s="48"/>
      <c r="M644" s="48"/>
      <c r="N644" s="48">
        <v>282300</v>
      </c>
      <c r="O644" s="48"/>
      <c r="P644" s="48"/>
      <c r="Q644" s="48"/>
      <c r="R644" s="48"/>
      <c r="S644" s="48"/>
      <c r="T644" s="48"/>
      <c r="U644" s="48"/>
      <c r="V644" s="48"/>
      <c r="W644" s="48"/>
    </row>
    <row r="645" ht="32.9" customHeight="true" spans="1:23">
      <c r="A645" s="18" t="s">
        <v>559</v>
      </c>
      <c r="B645" s="155" t="s">
        <v>874</v>
      </c>
      <c r="C645" s="18" t="s">
        <v>873</v>
      </c>
      <c r="D645" s="18" t="s">
        <v>81</v>
      </c>
      <c r="E645" s="18" t="s">
        <v>132</v>
      </c>
      <c r="F645" s="18" t="s">
        <v>481</v>
      </c>
      <c r="G645" s="18" t="s">
        <v>281</v>
      </c>
      <c r="H645" s="18" t="s">
        <v>282</v>
      </c>
      <c r="I645" s="48">
        <v>65500</v>
      </c>
      <c r="J645" s="48"/>
      <c r="K645" s="48"/>
      <c r="L645" s="48"/>
      <c r="M645" s="48"/>
      <c r="N645" s="48">
        <v>65500</v>
      </c>
      <c r="O645" s="48"/>
      <c r="P645" s="48"/>
      <c r="Q645" s="48"/>
      <c r="R645" s="48"/>
      <c r="S645" s="48"/>
      <c r="T645" s="48"/>
      <c r="U645" s="48"/>
      <c r="V645" s="48"/>
      <c r="W645" s="48"/>
    </row>
    <row r="646" ht="32.9" customHeight="true" spans="1:23">
      <c r="A646" s="18" t="s">
        <v>559</v>
      </c>
      <c r="B646" s="155" t="s">
        <v>874</v>
      </c>
      <c r="C646" s="18" t="s">
        <v>873</v>
      </c>
      <c r="D646" s="18" t="s">
        <v>81</v>
      </c>
      <c r="E646" s="18" t="s">
        <v>132</v>
      </c>
      <c r="F646" s="18" t="s">
        <v>481</v>
      </c>
      <c r="G646" s="18" t="s">
        <v>625</v>
      </c>
      <c r="H646" s="18" t="s">
        <v>626</v>
      </c>
      <c r="I646" s="48">
        <v>67700</v>
      </c>
      <c r="J646" s="48"/>
      <c r="K646" s="48"/>
      <c r="L646" s="48"/>
      <c r="M646" s="48"/>
      <c r="N646" s="48">
        <v>67700</v>
      </c>
      <c r="O646" s="48"/>
      <c r="P646" s="48"/>
      <c r="Q646" s="48"/>
      <c r="R646" s="48"/>
      <c r="S646" s="48"/>
      <c r="T646" s="48"/>
      <c r="U646" s="48"/>
      <c r="V646" s="48"/>
      <c r="W646" s="48"/>
    </row>
    <row r="647" ht="32.9" customHeight="true" spans="1:23">
      <c r="A647" s="18" t="s">
        <v>559</v>
      </c>
      <c r="B647" s="155" t="s">
        <v>874</v>
      </c>
      <c r="C647" s="18" t="s">
        <v>873</v>
      </c>
      <c r="D647" s="18" t="s">
        <v>81</v>
      </c>
      <c r="E647" s="18" t="s">
        <v>132</v>
      </c>
      <c r="F647" s="18" t="s">
        <v>481</v>
      </c>
      <c r="G647" s="18" t="s">
        <v>283</v>
      </c>
      <c r="H647" s="18" t="s">
        <v>284</v>
      </c>
      <c r="I647" s="48">
        <v>1372120</v>
      </c>
      <c r="J647" s="48"/>
      <c r="K647" s="48"/>
      <c r="L647" s="48"/>
      <c r="M647" s="48"/>
      <c r="N647" s="48">
        <v>1372120</v>
      </c>
      <c r="O647" s="48"/>
      <c r="P647" s="48"/>
      <c r="Q647" s="48"/>
      <c r="R647" s="48"/>
      <c r="S647" s="48"/>
      <c r="T647" s="48"/>
      <c r="U647" s="48"/>
      <c r="V647" s="48"/>
      <c r="W647" s="48"/>
    </row>
    <row r="648" ht="32.9" customHeight="true" spans="1:23">
      <c r="A648" s="18" t="s">
        <v>559</v>
      </c>
      <c r="B648" s="155" t="s">
        <v>874</v>
      </c>
      <c r="C648" s="18" t="s">
        <v>873</v>
      </c>
      <c r="D648" s="18" t="s">
        <v>81</v>
      </c>
      <c r="E648" s="18" t="s">
        <v>132</v>
      </c>
      <c r="F648" s="18" t="s">
        <v>481</v>
      </c>
      <c r="G648" s="18" t="s">
        <v>629</v>
      </c>
      <c r="H648" s="18" t="s">
        <v>630</v>
      </c>
      <c r="I648" s="48">
        <v>4337571.62</v>
      </c>
      <c r="J648" s="48"/>
      <c r="K648" s="48"/>
      <c r="L648" s="48"/>
      <c r="M648" s="48"/>
      <c r="N648" s="48">
        <v>4337571.62</v>
      </c>
      <c r="O648" s="48"/>
      <c r="P648" s="48"/>
      <c r="Q648" s="48"/>
      <c r="R648" s="48"/>
      <c r="S648" s="48"/>
      <c r="T648" s="48"/>
      <c r="U648" s="48"/>
      <c r="V648" s="48"/>
      <c r="W648" s="48"/>
    </row>
    <row r="649" ht="32.9" customHeight="true" spans="1:23">
      <c r="A649" s="18" t="s">
        <v>559</v>
      </c>
      <c r="B649" s="155" t="s">
        <v>874</v>
      </c>
      <c r="C649" s="18" t="s">
        <v>873</v>
      </c>
      <c r="D649" s="18" t="s">
        <v>81</v>
      </c>
      <c r="E649" s="18" t="s">
        <v>132</v>
      </c>
      <c r="F649" s="18" t="s">
        <v>481</v>
      </c>
      <c r="G649" s="18" t="s">
        <v>631</v>
      </c>
      <c r="H649" s="18" t="s">
        <v>632</v>
      </c>
      <c r="I649" s="48">
        <v>1357280.98</v>
      </c>
      <c r="J649" s="48"/>
      <c r="K649" s="48"/>
      <c r="L649" s="48"/>
      <c r="M649" s="48"/>
      <c r="N649" s="48">
        <v>1357280.98</v>
      </c>
      <c r="O649" s="48"/>
      <c r="P649" s="48"/>
      <c r="Q649" s="48"/>
      <c r="R649" s="48"/>
      <c r="S649" s="48"/>
      <c r="T649" s="48"/>
      <c r="U649" s="48"/>
      <c r="V649" s="48"/>
      <c r="W649" s="48"/>
    </row>
    <row r="650" ht="32.9" customHeight="true" spans="1:23">
      <c r="A650" s="18"/>
      <c r="B650" s="18"/>
      <c r="C650" s="18" t="s">
        <v>875</v>
      </c>
      <c r="D650" s="18"/>
      <c r="E650" s="18"/>
      <c r="F650" s="18"/>
      <c r="G650" s="18"/>
      <c r="H650" s="18"/>
      <c r="I650" s="48">
        <v>759066</v>
      </c>
      <c r="J650" s="48"/>
      <c r="K650" s="48"/>
      <c r="L650" s="48"/>
      <c r="M650" s="48"/>
      <c r="N650" s="48">
        <v>759066</v>
      </c>
      <c r="O650" s="48"/>
      <c r="P650" s="48"/>
      <c r="Q650" s="48"/>
      <c r="R650" s="48"/>
      <c r="S650" s="48"/>
      <c r="T650" s="48"/>
      <c r="U650" s="48"/>
      <c r="V650" s="48"/>
      <c r="W650" s="48"/>
    </row>
    <row r="651" ht="32.9" customHeight="true" spans="1:23">
      <c r="A651" s="18" t="s">
        <v>559</v>
      </c>
      <c r="B651" s="155" t="s">
        <v>876</v>
      </c>
      <c r="C651" s="18" t="s">
        <v>875</v>
      </c>
      <c r="D651" s="18" t="s">
        <v>81</v>
      </c>
      <c r="E651" s="18" t="s">
        <v>154</v>
      </c>
      <c r="F651" s="18" t="s">
        <v>569</v>
      </c>
      <c r="G651" s="18" t="s">
        <v>281</v>
      </c>
      <c r="H651" s="18" t="s">
        <v>282</v>
      </c>
      <c r="I651" s="48">
        <v>759066</v>
      </c>
      <c r="J651" s="48"/>
      <c r="K651" s="48"/>
      <c r="L651" s="48"/>
      <c r="M651" s="48"/>
      <c r="N651" s="48">
        <v>759066</v>
      </c>
      <c r="O651" s="48"/>
      <c r="P651" s="48"/>
      <c r="Q651" s="48"/>
      <c r="R651" s="48"/>
      <c r="S651" s="48"/>
      <c r="T651" s="48"/>
      <c r="U651" s="48"/>
      <c r="V651" s="48"/>
      <c r="W651" s="48"/>
    </row>
    <row r="652" ht="32.9" customHeight="true" spans="1:23">
      <c r="A652" s="18"/>
      <c r="B652" s="18"/>
      <c r="C652" s="18" t="s">
        <v>877</v>
      </c>
      <c r="D652" s="18"/>
      <c r="E652" s="18"/>
      <c r="F652" s="18"/>
      <c r="G652" s="18"/>
      <c r="H652" s="18"/>
      <c r="I652" s="48">
        <v>73272758.55</v>
      </c>
      <c r="J652" s="48"/>
      <c r="K652" s="48"/>
      <c r="L652" s="48"/>
      <c r="M652" s="48"/>
      <c r="N652" s="48"/>
      <c r="O652" s="48"/>
      <c r="P652" s="48"/>
      <c r="Q652" s="48"/>
      <c r="R652" s="48">
        <v>73272758.55</v>
      </c>
      <c r="S652" s="48">
        <v>73272758.55</v>
      </c>
      <c r="T652" s="48"/>
      <c r="U652" s="48"/>
      <c r="V652" s="48"/>
      <c r="W652" s="48"/>
    </row>
    <row r="653" ht="32.9" customHeight="true" spans="1:23">
      <c r="A653" s="18" t="s">
        <v>559</v>
      </c>
      <c r="B653" s="155" t="s">
        <v>878</v>
      </c>
      <c r="C653" s="18" t="s">
        <v>877</v>
      </c>
      <c r="D653" s="18" t="s">
        <v>83</v>
      </c>
      <c r="E653" s="18" t="s">
        <v>131</v>
      </c>
      <c r="F653" s="18" t="s">
        <v>498</v>
      </c>
      <c r="G653" s="18" t="s">
        <v>275</v>
      </c>
      <c r="H653" s="18" t="s">
        <v>276</v>
      </c>
      <c r="I653" s="48">
        <v>146820</v>
      </c>
      <c r="J653" s="48"/>
      <c r="K653" s="48"/>
      <c r="L653" s="48"/>
      <c r="M653" s="48"/>
      <c r="N653" s="48"/>
      <c r="O653" s="48"/>
      <c r="P653" s="48"/>
      <c r="Q653" s="48"/>
      <c r="R653" s="48">
        <v>146820</v>
      </c>
      <c r="S653" s="48">
        <v>146820</v>
      </c>
      <c r="T653" s="48"/>
      <c r="U653" s="48"/>
      <c r="V653" s="48"/>
      <c r="W653" s="48"/>
    </row>
    <row r="654" ht="32.9" customHeight="true" spans="1:23">
      <c r="A654" s="18" t="s">
        <v>559</v>
      </c>
      <c r="B654" s="155" t="s">
        <v>878</v>
      </c>
      <c r="C654" s="18" t="s">
        <v>877</v>
      </c>
      <c r="D654" s="18" t="s">
        <v>83</v>
      </c>
      <c r="E654" s="18" t="s">
        <v>131</v>
      </c>
      <c r="F654" s="18" t="s">
        <v>498</v>
      </c>
      <c r="G654" s="18" t="s">
        <v>308</v>
      </c>
      <c r="H654" s="18" t="s">
        <v>309</v>
      </c>
      <c r="I654" s="48">
        <v>253675</v>
      </c>
      <c r="J654" s="48"/>
      <c r="K654" s="48"/>
      <c r="L654" s="48"/>
      <c r="M654" s="48"/>
      <c r="N654" s="48"/>
      <c r="O654" s="48"/>
      <c r="P654" s="48"/>
      <c r="Q654" s="48"/>
      <c r="R654" s="48">
        <v>253675</v>
      </c>
      <c r="S654" s="48">
        <v>253675</v>
      </c>
      <c r="T654" s="48"/>
      <c r="U654" s="48"/>
      <c r="V654" s="48"/>
      <c r="W654" s="48"/>
    </row>
    <row r="655" ht="32.9" customHeight="true" spans="1:23">
      <c r="A655" s="18" t="s">
        <v>559</v>
      </c>
      <c r="B655" s="155" t="s">
        <v>878</v>
      </c>
      <c r="C655" s="18" t="s">
        <v>877</v>
      </c>
      <c r="D655" s="18" t="s">
        <v>83</v>
      </c>
      <c r="E655" s="18" t="s">
        <v>131</v>
      </c>
      <c r="F655" s="18" t="s">
        <v>498</v>
      </c>
      <c r="G655" s="18" t="s">
        <v>310</v>
      </c>
      <c r="H655" s="18" t="s">
        <v>311</v>
      </c>
      <c r="I655" s="48">
        <v>1570800</v>
      </c>
      <c r="J655" s="48"/>
      <c r="K655" s="48"/>
      <c r="L655" s="48"/>
      <c r="M655" s="48"/>
      <c r="N655" s="48"/>
      <c r="O655" s="48"/>
      <c r="P655" s="48"/>
      <c r="Q655" s="48"/>
      <c r="R655" s="48">
        <v>1570800</v>
      </c>
      <c r="S655" s="48">
        <v>1570800</v>
      </c>
      <c r="T655" s="48"/>
      <c r="U655" s="48"/>
      <c r="V655" s="48"/>
      <c r="W655" s="48"/>
    </row>
    <row r="656" ht="32.9" customHeight="true" spans="1:23">
      <c r="A656" s="18" t="s">
        <v>559</v>
      </c>
      <c r="B656" s="155" t="s">
        <v>878</v>
      </c>
      <c r="C656" s="18" t="s">
        <v>877</v>
      </c>
      <c r="D656" s="18" t="s">
        <v>83</v>
      </c>
      <c r="E656" s="18" t="s">
        <v>131</v>
      </c>
      <c r="F656" s="18" t="s">
        <v>498</v>
      </c>
      <c r="G656" s="18" t="s">
        <v>312</v>
      </c>
      <c r="H656" s="18" t="s">
        <v>313</v>
      </c>
      <c r="I656" s="48">
        <v>39000</v>
      </c>
      <c r="J656" s="48"/>
      <c r="K656" s="48"/>
      <c r="L656" s="48"/>
      <c r="M656" s="48"/>
      <c r="N656" s="48"/>
      <c r="O656" s="48"/>
      <c r="P656" s="48"/>
      <c r="Q656" s="48"/>
      <c r="R656" s="48">
        <v>39000</v>
      </c>
      <c r="S656" s="48">
        <v>39000</v>
      </c>
      <c r="T656" s="48"/>
      <c r="U656" s="48"/>
      <c r="V656" s="48"/>
      <c r="W656" s="48"/>
    </row>
    <row r="657" ht="32.9" customHeight="true" spans="1:23">
      <c r="A657" s="18" t="s">
        <v>559</v>
      </c>
      <c r="B657" s="155" t="s">
        <v>878</v>
      </c>
      <c r="C657" s="18" t="s">
        <v>877</v>
      </c>
      <c r="D657" s="18" t="s">
        <v>83</v>
      </c>
      <c r="E657" s="18" t="s">
        <v>131</v>
      </c>
      <c r="F657" s="18" t="s">
        <v>498</v>
      </c>
      <c r="G657" s="18" t="s">
        <v>331</v>
      </c>
      <c r="H657" s="18" t="s">
        <v>330</v>
      </c>
      <c r="I657" s="48">
        <v>3569691</v>
      </c>
      <c r="J657" s="48"/>
      <c r="K657" s="48"/>
      <c r="L657" s="48"/>
      <c r="M657" s="48"/>
      <c r="N657" s="48"/>
      <c r="O657" s="48"/>
      <c r="P657" s="48"/>
      <c r="Q657" s="48"/>
      <c r="R657" s="48">
        <v>3569691</v>
      </c>
      <c r="S657" s="48">
        <v>3569691</v>
      </c>
      <c r="T657" s="48"/>
      <c r="U657" s="48"/>
      <c r="V657" s="48"/>
      <c r="W657" s="48"/>
    </row>
    <row r="658" ht="32.9" customHeight="true" spans="1:23">
      <c r="A658" s="18" t="s">
        <v>559</v>
      </c>
      <c r="B658" s="155" t="s">
        <v>878</v>
      </c>
      <c r="C658" s="18" t="s">
        <v>877</v>
      </c>
      <c r="D658" s="18" t="s">
        <v>83</v>
      </c>
      <c r="E658" s="18" t="s">
        <v>131</v>
      </c>
      <c r="F658" s="18" t="s">
        <v>498</v>
      </c>
      <c r="G658" s="18" t="s">
        <v>277</v>
      </c>
      <c r="H658" s="18" t="s">
        <v>278</v>
      </c>
      <c r="I658" s="48">
        <v>61000</v>
      </c>
      <c r="J658" s="48"/>
      <c r="K658" s="48"/>
      <c r="L658" s="48"/>
      <c r="M658" s="48"/>
      <c r="N658" s="48"/>
      <c r="O658" s="48"/>
      <c r="P658" s="48"/>
      <c r="Q658" s="48"/>
      <c r="R658" s="48">
        <v>61000</v>
      </c>
      <c r="S658" s="48">
        <v>61000</v>
      </c>
      <c r="T658" s="48"/>
      <c r="U658" s="48"/>
      <c r="V658" s="48"/>
      <c r="W658" s="48"/>
    </row>
    <row r="659" ht="32.9" customHeight="true" spans="1:23">
      <c r="A659" s="18" t="s">
        <v>559</v>
      </c>
      <c r="B659" s="155" t="s">
        <v>878</v>
      </c>
      <c r="C659" s="18" t="s">
        <v>877</v>
      </c>
      <c r="D659" s="18" t="s">
        <v>83</v>
      </c>
      <c r="E659" s="18" t="s">
        <v>131</v>
      </c>
      <c r="F659" s="18" t="s">
        <v>498</v>
      </c>
      <c r="G659" s="18" t="s">
        <v>314</v>
      </c>
      <c r="H659" s="18" t="s">
        <v>315</v>
      </c>
      <c r="I659" s="48">
        <v>4919147</v>
      </c>
      <c r="J659" s="48"/>
      <c r="K659" s="48"/>
      <c r="L659" s="48"/>
      <c r="M659" s="48"/>
      <c r="N659" s="48"/>
      <c r="O659" s="48"/>
      <c r="P659" s="48"/>
      <c r="Q659" s="48"/>
      <c r="R659" s="48">
        <v>4919147</v>
      </c>
      <c r="S659" s="48">
        <v>4919147</v>
      </c>
      <c r="T659" s="48"/>
      <c r="U659" s="48"/>
      <c r="V659" s="48"/>
      <c r="W659" s="48"/>
    </row>
    <row r="660" ht="32.9" customHeight="true" spans="1:23">
      <c r="A660" s="18" t="s">
        <v>559</v>
      </c>
      <c r="B660" s="155" t="s">
        <v>878</v>
      </c>
      <c r="C660" s="18" t="s">
        <v>877</v>
      </c>
      <c r="D660" s="18" t="s">
        <v>83</v>
      </c>
      <c r="E660" s="18" t="s">
        <v>131</v>
      </c>
      <c r="F660" s="18" t="s">
        <v>498</v>
      </c>
      <c r="G660" s="18" t="s">
        <v>328</v>
      </c>
      <c r="H660" s="18" t="s">
        <v>327</v>
      </c>
      <c r="I660" s="48">
        <v>1286000</v>
      </c>
      <c r="J660" s="48"/>
      <c r="K660" s="48"/>
      <c r="L660" s="48"/>
      <c r="M660" s="48"/>
      <c r="N660" s="48"/>
      <c r="O660" s="48"/>
      <c r="P660" s="48"/>
      <c r="Q660" s="48"/>
      <c r="R660" s="48">
        <v>1286000</v>
      </c>
      <c r="S660" s="48">
        <v>1286000</v>
      </c>
      <c r="T660" s="48"/>
      <c r="U660" s="48"/>
      <c r="V660" s="48"/>
      <c r="W660" s="48"/>
    </row>
    <row r="661" ht="32.9" customHeight="true" spans="1:23">
      <c r="A661" s="18" t="s">
        <v>559</v>
      </c>
      <c r="B661" s="155" t="s">
        <v>878</v>
      </c>
      <c r="C661" s="18" t="s">
        <v>877</v>
      </c>
      <c r="D661" s="18" t="s">
        <v>83</v>
      </c>
      <c r="E661" s="18" t="s">
        <v>131</v>
      </c>
      <c r="F661" s="18" t="s">
        <v>498</v>
      </c>
      <c r="G661" s="18" t="s">
        <v>279</v>
      </c>
      <c r="H661" s="18" t="s">
        <v>280</v>
      </c>
      <c r="I661" s="48">
        <v>30000</v>
      </c>
      <c r="J661" s="48"/>
      <c r="K661" s="48"/>
      <c r="L661" s="48"/>
      <c r="M661" s="48"/>
      <c r="N661" s="48"/>
      <c r="O661" s="48"/>
      <c r="P661" s="48"/>
      <c r="Q661" s="48"/>
      <c r="R661" s="48">
        <v>30000</v>
      </c>
      <c r="S661" s="48">
        <v>30000</v>
      </c>
      <c r="T661" s="48"/>
      <c r="U661" s="48"/>
      <c r="V661" s="48"/>
      <c r="W661" s="48"/>
    </row>
    <row r="662" ht="32.9" customHeight="true" spans="1:23">
      <c r="A662" s="18" t="s">
        <v>559</v>
      </c>
      <c r="B662" s="155" t="s">
        <v>878</v>
      </c>
      <c r="C662" s="18" t="s">
        <v>877</v>
      </c>
      <c r="D662" s="18" t="s">
        <v>83</v>
      </c>
      <c r="E662" s="18" t="s">
        <v>131</v>
      </c>
      <c r="F662" s="18" t="s">
        <v>498</v>
      </c>
      <c r="G662" s="18" t="s">
        <v>281</v>
      </c>
      <c r="H662" s="18" t="s">
        <v>282</v>
      </c>
      <c r="I662" s="48">
        <v>1110600</v>
      </c>
      <c r="J662" s="48"/>
      <c r="K662" s="48"/>
      <c r="L662" s="48"/>
      <c r="M662" s="48"/>
      <c r="N662" s="48"/>
      <c r="O662" s="48"/>
      <c r="P662" s="48"/>
      <c r="Q662" s="48"/>
      <c r="R662" s="48">
        <v>1110600</v>
      </c>
      <c r="S662" s="48">
        <v>1110600</v>
      </c>
      <c r="T662" s="48"/>
      <c r="U662" s="48"/>
      <c r="V662" s="48"/>
      <c r="W662" s="48"/>
    </row>
    <row r="663" ht="32.9" customHeight="true" spans="1:23">
      <c r="A663" s="18" t="s">
        <v>559</v>
      </c>
      <c r="B663" s="155" t="s">
        <v>878</v>
      </c>
      <c r="C663" s="18" t="s">
        <v>877</v>
      </c>
      <c r="D663" s="18" t="s">
        <v>83</v>
      </c>
      <c r="E663" s="18" t="s">
        <v>131</v>
      </c>
      <c r="F663" s="18" t="s">
        <v>498</v>
      </c>
      <c r="G663" s="18" t="s">
        <v>290</v>
      </c>
      <c r="H663" s="18" t="s">
        <v>193</v>
      </c>
      <c r="I663" s="48">
        <v>20000</v>
      </c>
      <c r="J663" s="48"/>
      <c r="K663" s="48"/>
      <c r="L663" s="48"/>
      <c r="M663" s="48"/>
      <c r="N663" s="48"/>
      <c r="O663" s="48"/>
      <c r="P663" s="48"/>
      <c r="Q663" s="48"/>
      <c r="R663" s="48">
        <v>20000</v>
      </c>
      <c r="S663" s="48">
        <v>20000</v>
      </c>
      <c r="T663" s="48"/>
      <c r="U663" s="48"/>
      <c r="V663" s="48"/>
      <c r="W663" s="48"/>
    </row>
    <row r="664" ht="32.9" customHeight="true" spans="1:23">
      <c r="A664" s="18" t="s">
        <v>559</v>
      </c>
      <c r="B664" s="155" t="s">
        <v>878</v>
      </c>
      <c r="C664" s="18" t="s">
        <v>877</v>
      </c>
      <c r="D664" s="18" t="s">
        <v>83</v>
      </c>
      <c r="E664" s="18" t="s">
        <v>131</v>
      </c>
      <c r="F664" s="18" t="s">
        <v>498</v>
      </c>
      <c r="G664" s="18" t="s">
        <v>625</v>
      </c>
      <c r="H664" s="18" t="s">
        <v>626</v>
      </c>
      <c r="I664" s="48">
        <v>51240100</v>
      </c>
      <c r="J664" s="48"/>
      <c r="K664" s="48"/>
      <c r="L664" s="48"/>
      <c r="M664" s="48"/>
      <c r="N664" s="48"/>
      <c r="O664" s="48"/>
      <c r="P664" s="48"/>
      <c r="Q664" s="48"/>
      <c r="R664" s="48">
        <v>51240100</v>
      </c>
      <c r="S664" s="48">
        <v>51240100</v>
      </c>
      <c r="T664" s="48"/>
      <c r="U664" s="48"/>
      <c r="V664" s="48"/>
      <c r="W664" s="48"/>
    </row>
    <row r="665" ht="32.9" customHeight="true" spans="1:23">
      <c r="A665" s="18" t="s">
        <v>559</v>
      </c>
      <c r="B665" s="155" t="s">
        <v>878</v>
      </c>
      <c r="C665" s="18" t="s">
        <v>877</v>
      </c>
      <c r="D665" s="18" t="s">
        <v>83</v>
      </c>
      <c r="E665" s="18" t="s">
        <v>131</v>
      </c>
      <c r="F665" s="18" t="s">
        <v>498</v>
      </c>
      <c r="G665" s="18" t="s">
        <v>316</v>
      </c>
      <c r="H665" s="18" t="s">
        <v>317</v>
      </c>
      <c r="I665" s="48">
        <v>508000</v>
      </c>
      <c r="J665" s="48"/>
      <c r="K665" s="48"/>
      <c r="L665" s="48"/>
      <c r="M665" s="48"/>
      <c r="N665" s="48"/>
      <c r="O665" s="48"/>
      <c r="P665" s="48"/>
      <c r="Q665" s="48"/>
      <c r="R665" s="48">
        <v>508000</v>
      </c>
      <c r="S665" s="48">
        <v>508000</v>
      </c>
      <c r="T665" s="48"/>
      <c r="U665" s="48"/>
      <c r="V665" s="48"/>
      <c r="W665" s="48"/>
    </row>
    <row r="666" ht="32.9" customHeight="true" spans="1:23">
      <c r="A666" s="18" t="s">
        <v>559</v>
      </c>
      <c r="B666" s="155" t="s">
        <v>878</v>
      </c>
      <c r="C666" s="18" t="s">
        <v>877</v>
      </c>
      <c r="D666" s="18" t="s">
        <v>83</v>
      </c>
      <c r="E666" s="18" t="s">
        <v>131</v>
      </c>
      <c r="F666" s="18" t="s">
        <v>498</v>
      </c>
      <c r="G666" s="18" t="s">
        <v>283</v>
      </c>
      <c r="H666" s="18" t="s">
        <v>284</v>
      </c>
      <c r="I666" s="48">
        <v>2394089.22</v>
      </c>
      <c r="J666" s="48"/>
      <c r="K666" s="48"/>
      <c r="L666" s="48"/>
      <c r="M666" s="48"/>
      <c r="N666" s="48"/>
      <c r="O666" s="48"/>
      <c r="P666" s="48"/>
      <c r="Q666" s="48"/>
      <c r="R666" s="48">
        <v>2394089.22</v>
      </c>
      <c r="S666" s="48">
        <v>2394089.22</v>
      </c>
      <c r="T666" s="48"/>
      <c r="U666" s="48"/>
      <c r="V666" s="48"/>
      <c r="W666" s="48"/>
    </row>
    <row r="667" ht="32.9" customHeight="true" spans="1:23">
      <c r="A667" s="18" t="s">
        <v>559</v>
      </c>
      <c r="B667" s="155" t="s">
        <v>878</v>
      </c>
      <c r="C667" s="18" t="s">
        <v>877</v>
      </c>
      <c r="D667" s="18" t="s">
        <v>83</v>
      </c>
      <c r="E667" s="18" t="s">
        <v>131</v>
      </c>
      <c r="F667" s="18" t="s">
        <v>498</v>
      </c>
      <c r="G667" s="18" t="s">
        <v>270</v>
      </c>
      <c r="H667" s="18" t="s">
        <v>269</v>
      </c>
      <c r="I667" s="48">
        <v>1050000</v>
      </c>
      <c r="J667" s="48"/>
      <c r="K667" s="48"/>
      <c r="L667" s="48"/>
      <c r="M667" s="48"/>
      <c r="N667" s="48"/>
      <c r="O667" s="48"/>
      <c r="P667" s="48"/>
      <c r="Q667" s="48"/>
      <c r="R667" s="48">
        <v>1050000</v>
      </c>
      <c r="S667" s="48">
        <v>1050000</v>
      </c>
      <c r="T667" s="48"/>
      <c r="U667" s="48"/>
      <c r="V667" s="48"/>
      <c r="W667" s="48"/>
    </row>
    <row r="668" ht="32.9" customHeight="true" spans="1:23">
      <c r="A668" s="18" t="s">
        <v>559</v>
      </c>
      <c r="B668" s="155" t="s">
        <v>878</v>
      </c>
      <c r="C668" s="18" t="s">
        <v>877</v>
      </c>
      <c r="D668" s="18" t="s">
        <v>83</v>
      </c>
      <c r="E668" s="18" t="s">
        <v>131</v>
      </c>
      <c r="F668" s="18" t="s">
        <v>498</v>
      </c>
      <c r="G668" s="18" t="s">
        <v>285</v>
      </c>
      <c r="H668" s="18" t="s">
        <v>286</v>
      </c>
      <c r="I668" s="48">
        <v>370500</v>
      </c>
      <c r="J668" s="48"/>
      <c r="K668" s="48"/>
      <c r="L668" s="48"/>
      <c r="M668" s="48"/>
      <c r="N668" s="48"/>
      <c r="O668" s="48"/>
      <c r="P668" s="48"/>
      <c r="Q668" s="48"/>
      <c r="R668" s="48">
        <v>370500</v>
      </c>
      <c r="S668" s="48">
        <v>370500</v>
      </c>
      <c r="T668" s="48"/>
      <c r="U668" s="48"/>
      <c r="V668" s="48"/>
      <c r="W668" s="48"/>
    </row>
    <row r="669" ht="32.9" customHeight="true" spans="1:23">
      <c r="A669" s="18" t="s">
        <v>559</v>
      </c>
      <c r="B669" s="155" t="s">
        <v>878</v>
      </c>
      <c r="C669" s="18" t="s">
        <v>877</v>
      </c>
      <c r="D669" s="18" t="s">
        <v>83</v>
      </c>
      <c r="E669" s="18" t="s">
        <v>131</v>
      </c>
      <c r="F669" s="18" t="s">
        <v>498</v>
      </c>
      <c r="G669" s="18" t="s">
        <v>262</v>
      </c>
      <c r="H669" s="18" t="s">
        <v>263</v>
      </c>
      <c r="I669" s="48">
        <v>108700</v>
      </c>
      <c r="J669" s="48"/>
      <c r="K669" s="48"/>
      <c r="L669" s="48"/>
      <c r="M669" s="48"/>
      <c r="N669" s="48"/>
      <c r="O669" s="48"/>
      <c r="P669" s="48"/>
      <c r="Q669" s="48"/>
      <c r="R669" s="48">
        <v>108700</v>
      </c>
      <c r="S669" s="48">
        <v>108700</v>
      </c>
      <c r="T669" s="48"/>
      <c r="U669" s="48"/>
      <c r="V669" s="48"/>
      <c r="W669" s="48"/>
    </row>
    <row r="670" ht="32.9" customHeight="true" spans="1:23">
      <c r="A670" s="18" t="s">
        <v>559</v>
      </c>
      <c r="B670" s="155" t="s">
        <v>878</v>
      </c>
      <c r="C670" s="18" t="s">
        <v>877</v>
      </c>
      <c r="D670" s="18" t="s">
        <v>83</v>
      </c>
      <c r="E670" s="18" t="s">
        <v>131</v>
      </c>
      <c r="F670" s="18" t="s">
        <v>498</v>
      </c>
      <c r="G670" s="18" t="s">
        <v>746</v>
      </c>
      <c r="H670" s="18" t="s">
        <v>747</v>
      </c>
      <c r="I670" s="48">
        <v>5000</v>
      </c>
      <c r="J670" s="48"/>
      <c r="K670" s="48"/>
      <c r="L670" s="48"/>
      <c r="M670" s="48"/>
      <c r="N670" s="48"/>
      <c r="O670" s="48"/>
      <c r="P670" s="48"/>
      <c r="Q670" s="48"/>
      <c r="R670" s="48">
        <v>5000</v>
      </c>
      <c r="S670" s="48">
        <v>5000</v>
      </c>
      <c r="T670" s="48"/>
      <c r="U670" s="48"/>
      <c r="V670" s="48"/>
      <c r="W670" s="48"/>
    </row>
    <row r="671" ht="32.9" customHeight="true" spans="1:23">
      <c r="A671" s="18" t="s">
        <v>559</v>
      </c>
      <c r="B671" s="155" t="s">
        <v>878</v>
      </c>
      <c r="C671" s="18" t="s">
        <v>877</v>
      </c>
      <c r="D671" s="18" t="s">
        <v>83</v>
      </c>
      <c r="E671" s="18" t="s">
        <v>131</v>
      </c>
      <c r="F671" s="18" t="s">
        <v>498</v>
      </c>
      <c r="G671" s="18" t="s">
        <v>273</v>
      </c>
      <c r="H671" s="18" t="s">
        <v>274</v>
      </c>
      <c r="I671" s="48">
        <v>1710936.33</v>
      </c>
      <c r="J671" s="48"/>
      <c r="K671" s="48"/>
      <c r="L671" s="48"/>
      <c r="M671" s="48"/>
      <c r="N671" s="48"/>
      <c r="O671" s="48"/>
      <c r="P671" s="48"/>
      <c r="Q671" s="48"/>
      <c r="R671" s="48">
        <v>1710936.33</v>
      </c>
      <c r="S671" s="48">
        <v>1710936.33</v>
      </c>
      <c r="T671" s="48"/>
      <c r="U671" s="48"/>
      <c r="V671" s="48"/>
      <c r="W671" s="48"/>
    </row>
    <row r="672" ht="32.9" customHeight="true" spans="1:23">
      <c r="A672" s="18" t="s">
        <v>559</v>
      </c>
      <c r="B672" s="155" t="s">
        <v>878</v>
      </c>
      <c r="C672" s="18" t="s">
        <v>877</v>
      </c>
      <c r="D672" s="18" t="s">
        <v>83</v>
      </c>
      <c r="E672" s="18" t="s">
        <v>131</v>
      </c>
      <c r="F672" s="18" t="s">
        <v>498</v>
      </c>
      <c r="G672" s="18" t="s">
        <v>287</v>
      </c>
      <c r="H672" s="18" t="s">
        <v>288</v>
      </c>
      <c r="I672" s="48">
        <v>818700</v>
      </c>
      <c r="J672" s="48"/>
      <c r="K672" s="48"/>
      <c r="L672" s="48"/>
      <c r="M672" s="48"/>
      <c r="N672" s="48"/>
      <c r="O672" s="48"/>
      <c r="P672" s="48"/>
      <c r="Q672" s="48"/>
      <c r="R672" s="48">
        <v>818700</v>
      </c>
      <c r="S672" s="48">
        <v>818700</v>
      </c>
      <c r="T672" s="48"/>
      <c r="U672" s="48"/>
      <c r="V672" s="48"/>
      <c r="W672" s="48"/>
    </row>
    <row r="673" ht="32.9" customHeight="true" spans="1:23">
      <c r="A673" s="18" t="s">
        <v>559</v>
      </c>
      <c r="B673" s="155" t="s">
        <v>878</v>
      </c>
      <c r="C673" s="18" t="s">
        <v>877</v>
      </c>
      <c r="D673" s="18" t="s">
        <v>83</v>
      </c>
      <c r="E673" s="18" t="s">
        <v>131</v>
      </c>
      <c r="F673" s="18" t="s">
        <v>498</v>
      </c>
      <c r="G673" s="18" t="s">
        <v>629</v>
      </c>
      <c r="H673" s="18" t="s">
        <v>630</v>
      </c>
      <c r="I673" s="48">
        <v>1700000</v>
      </c>
      <c r="J673" s="48"/>
      <c r="K673" s="48"/>
      <c r="L673" s="48"/>
      <c r="M673" s="48"/>
      <c r="N673" s="48"/>
      <c r="O673" s="48"/>
      <c r="P673" s="48"/>
      <c r="Q673" s="48"/>
      <c r="R673" s="48">
        <v>1700000</v>
      </c>
      <c r="S673" s="48">
        <v>1700000</v>
      </c>
      <c r="T673" s="48"/>
      <c r="U673" s="48"/>
      <c r="V673" s="48"/>
      <c r="W673" s="48"/>
    </row>
    <row r="674" ht="32.9" customHeight="true" spans="1:23">
      <c r="A674" s="18" t="s">
        <v>559</v>
      </c>
      <c r="B674" s="155" t="s">
        <v>878</v>
      </c>
      <c r="C674" s="18" t="s">
        <v>877</v>
      </c>
      <c r="D674" s="18" t="s">
        <v>83</v>
      </c>
      <c r="E674" s="18" t="s">
        <v>131</v>
      </c>
      <c r="F674" s="18" t="s">
        <v>498</v>
      </c>
      <c r="G674" s="18" t="s">
        <v>748</v>
      </c>
      <c r="H674" s="18" t="s">
        <v>191</v>
      </c>
      <c r="I674" s="48">
        <v>300000</v>
      </c>
      <c r="J674" s="48"/>
      <c r="K674" s="48"/>
      <c r="L674" s="48"/>
      <c r="M674" s="48"/>
      <c r="N674" s="48"/>
      <c r="O674" s="48"/>
      <c r="P674" s="48"/>
      <c r="Q674" s="48"/>
      <c r="R674" s="48">
        <v>300000</v>
      </c>
      <c r="S674" s="48">
        <v>300000</v>
      </c>
      <c r="T674" s="48"/>
      <c r="U674" s="48"/>
      <c r="V674" s="48"/>
      <c r="W674" s="48"/>
    </row>
    <row r="675" ht="32.9" customHeight="true" spans="1:23">
      <c r="A675" s="18" t="s">
        <v>559</v>
      </c>
      <c r="B675" s="155" t="s">
        <v>878</v>
      </c>
      <c r="C675" s="18" t="s">
        <v>877</v>
      </c>
      <c r="D675" s="18" t="s">
        <v>83</v>
      </c>
      <c r="E675" s="18" t="s">
        <v>131</v>
      </c>
      <c r="F675" s="18" t="s">
        <v>498</v>
      </c>
      <c r="G675" s="18" t="s">
        <v>546</v>
      </c>
      <c r="H675" s="18" t="s">
        <v>98</v>
      </c>
      <c r="I675" s="48">
        <v>60000</v>
      </c>
      <c r="J675" s="48"/>
      <c r="K675" s="48"/>
      <c r="L675" s="48"/>
      <c r="M675" s="48"/>
      <c r="N675" s="48"/>
      <c r="O675" s="48"/>
      <c r="P675" s="48"/>
      <c r="Q675" s="48"/>
      <c r="R675" s="48">
        <v>60000</v>
      </c>
      <c r="S675" s="48">
        <v>60000</v>
      </c>
      <c r="T675" s="48"/>
      <c r="U675" s="48"/>
      <c r="V675" s="48"/>
      <c r="W675" s="48"/>
    </row>
    <row r="676" ht="32.9" customHeight="true" spans="1:23">
      <c r="A676" s="18"/>
      <c r="B676" s="18"/>
      <c r="C676" s="18" t="s">
        <v>879</v>
      </c>
      <c r="D676" s="18"/>
      <c r="E676" s="18"/>
      <c r="F676" s="18"/>
      <c r="G676" s="18"/>
      <c r="H676" s="18"/>
      <c r="I676" s="48">
        <v>297500</v>
      </c>
      <c r="J676" s="48"/>
      <c r="K676" s="48"/>
      <c r="L676" s="48"/>
      <c r="M676" s="48"/>
      <c r="N676" s="48">
        <v>297500</v>
      </c>
      <c r="O676" s="48"/>
      <c r="P676" s="48"/>
      <c r="Q676" s="48"/>
      <c r="R676" s="48"/>
      <c r="S676" s="48"/>
      <c r="T676" s="48"/>
      <c r="U676" s="48"/>
      <c r="V676" s="48"/>
      <c r="W676" s="48"/>
    </row>
    <row r="677" ht="32.9" customHeight="true" spans="1:23">
      <c r="A677" s="18" t="s">
        <v>559</v>
      </c>
      <c r="B677" s="155" t="s">
        <v>880</v>
      </c>
      <c r="C677" s="18" t="s">
        <v>879</v>
      </c>
      <c r="D677" s="18" t="s">
        <v>83</v>
      </c>
      <c r="E677" s="18" t="s">
        <v>132</v>
      </c>
      <c r="F677" s="18" t="s">
        <v>481</v>
      </c>
      <c r="G677" s="18" t="s">
        <v>881</v>
      </c>
      <c r="H677" s="18" t="s">
        <v>882</v>
      </c>
      <c r="I677" s="48">
        <v>297500</v>
      </c>
      <c r="J677" s="48"/>
      <c r="K677" s="48"/>
      <c r="L677" s="48"/>
      <c r="M677" s="48"/>
      <c r="N677" s="48">
        <v>297500</v>
      </c>
      <c r="O677" s="48"/>
      <c r="P677" s="48"/>
      <c r="Q677" s="48"/>
      <c r="R677" s="48"/>
      <c r="S677" s="48"/>
      <c r="T677" s="48"/>
      <c r="U677" s="48"/>
      <c r="V677" s="48"/>
      <c r="W677" s="48"/>
    </row>
    <row r="678" ht="32.9" customHeight="true" spans="1:23">
      <c r="A678" s="18"/>
      <c r="B678" s="18"/>
      <c r="C678" s="18" t="s">
        <v>754</v>
      </c>
      <c r="D678" s="18"/>
      <c r="E678" s="18"/>
      <c r="F678" s="18"/>
      <c r="G678" s="18"/>
      <c r="H678" s="18"/>
      <c r="I678" s="48">
        <v>6600</v>
      </c>
      <c r="J678" s="48"/>
      <c r="K678" s="48"/>
      <c r="L678" s="48"/>
      <c r="M678" s="48"/>
      <c r="N678" s="48">
        <v>6600</v>
      </c>
      <c r="O678" s="48"/>
      <c r="P678" s="48"/>
      <c r="Q678" s="48"/>
      <c r="R678" s="48"/>
      <c r="S678" s="48"/>
      <c r="T678" s="48"/>
      <c r="U678" s="48"/>
      <c r="V678" s="48"/>
      <c r="W678" s="48"/>
    </row>
    <row r="679" ht="32.9" customHeight="true" spans="1:23">
      <c r="A679" s="18" t="s">
        <v>559</v>
      </c>
      <c r="B679" s="155" t="s">
        <v>883</v>
      </c>
      <c r="C679" s="18" t="s">
        <v>754</v>
      </c>
      <c r="D679" s="18" t="s">
        <v>83</v>
      </c>
      <c r="E679" s="18" t="s">
        <v>154</v>
      </c>
      <c r="F679" s="18" t="s">
        <v>569</v>
      </c>
      <c r="G679" s="18" t="s">
        <v>438</v>
      </c>
      <c r="H679" s="18" t="s">
        <v>439</v>
      </c>
      <c r="I679" s="48">
        <v>6600</v>
      </c>
      <c r="J679" s="48"/>
      <c r="K679" s="48"/>
      <c r="L679" s="48"/>
      <c r="M679" s="48"/>
      <c r="N679" s="48">
        <v>6600</v>
      </c>
      <c r="O679" s="48"/>
      <c r="P679" s="48"/>
      <c r="Q679" s="48"/>
      <c r="R679" s="48"/>
      <c r="S679" s="48"/>
      <c r="T679" s="48"/>
      <c r="U679" s="48"/>
      <c r="V679" s="48"/>
      <c r="W679" s="48"/>
    </row>
    <row r="680" ht="32.9" customHeight="true" spans="1:23">
      <c r="A680" s="18"/>
      <c r="B680" s="18"/>
      <c r="C680" s="18" t="s">
        <v>884</v>
      </c>
      <c r="D680" s="18"/>
      <c r="E680" s="18"/>
      <c r="F680" s="18"/>
      <c r="G680" s="18"/>
      <c r="H680" s="18"/>
      <c r="I680" s="48">
        <v>10000</v>
      </c>
      <c r="J680" s="48"/>
      <c r="K680" s="48"/>
      <c r="L680" s="48"/>
      <c r="M680" s="48"/>
      <c r="N680" s="48">
        <v>10000</v>
      </c>
      <c r="O680" s="48"/>
      <c r="P680" s="48"/>
      <c r="Q680" s="48"/>
      <c r="R680" s="48"/>
      <c r="S680" s="48"/>
      <c r="T680" s="48"/>
      <c r="U680" s="48"/>
      <c r="V680" s="48"/>
      <c r="W680" s="48"/>
    </row>
    <row r="681" ht="32.9" customHeight="true" spans="1:23">
      <c r="A681" s="18" t="s">
        <v>567</v>
      </c>
      <c r="B681" s="155" t="s">
        <v>885</v>
      </c>
      <c r="C681" s="18" t="s">
        <v>884</v>
      </c>
      <c r="D681" s="18" t="s">
        <v>83</v>
      </c>
      <c r="E681" s="18" t="s">
        <v>141</v>
      </c>
      <c r="F681" s="18" t="s">
        <v>555</v>
      </c>
      <c r="G681" s="18" t="s">
        <v>629</v>
      </c>
      <c r="H681" s="18" t="s">
        <v>630</v>
      </c>
      <c r="I681" s="48">
        <v>10000</v>
      </c>
      <c r="J681" s="48"/>
      <c r="K681" s="48"/>
      <c r="L681" s="48"/>
      <c r="M681" s="48"/>
      <c r="N681" s="48">
        <v>10000</v>
      </c>
      <c r="O681" s="48"/>
      <c r="P681" s="48"/>
      <c r="Q681" s="48"/>
      <c r="R681" s="48"/>
      <c r="S681" s="48"/>
      <c r="T681" s="48"/>
      <c r="U681" s="48"/>
      <c r="V681" s="48"/>
      <c r="W681" s="48"/>
    </row>
    <row r="682" ht="32.9" customHeight="true" spans="1:23">
      <c r="A682" s="18"/>
      <c r="B682" s="18"/>
      <c r="C682" s="18" t="s">
        <v>886</v>
      </c>
      <c r="D682" s="18"/>
      <c r="E682" s="18"/>
      <c r="F682" s="18"/>
      <c r="G682" s="18"/>
      <c r="H682" s="18"/>
      <c r="I682" s="48">
        <v>4847065.04</v>
      </c>
      <c r="J682" s="48"/>
      <c r="K682" s="48"/>
      <c r="L682" s="48"/>
      <c r="M682" s="48"/>
      <c r="N682" s="48">
        <v>4847065.04</v>
      </c>
      <c r="O682" s="48"/>
      <c r="P682" s="48"/>
      <c r="Q682" s="48"/>
      <c r="R682" s="48"/>
      <c r="S682" s="48"/>
      <c r="T682" s="48"/>
      <c r="U682" s="48"/>
      <c r="V682" s="48"/>
      <c r="W682" s="48"/>
    </row>
    <row r="683" ht="32.9" customHeight="true" spans="1:23">
      <c r="A683" s="18" t="s">
        <v>567</v>
      </c>
      <c r="B683" s="155" t="s">
        <v>887</v>
      </c>
      <c r="C683" s="18" t="s">
        <v>886</v>
      </c>
      <c r="D683" s="18" t="s">
        <v>83</v>
      </c>
      <c r="E683" s="18" t="s">
        <v>132</v>
      </c>
      <c r="F683" s="18" t="s">
        <v>481</v>
      </c>
      <c r="G683" s="18" t="s">
        <v>281</v>
      </c>
      <c r="H683" s="18" t="s">
        <v>282</v>
      </c>
      <c r="I683" s="48">
        <v>27771.3</v>
      </c>
      <c r="J683" s="48"/>
      <c r="K683" s="48"/>
      <c r="L683" s="48"/>
      <c r="M683" s="48"/>
      <c r="N683" s="48">
        <v>27771.3</v>
      </c>
      <c r="O683" s="48"/>
      <c r="P683" s="48"/>
      <c r="Q683" s="48"/>
      <c r="R683" s="48"/>
      <c r="S683" s="48"/>
      <c r="T683" s="48"/>
      <c r="U683" s="48"/>
      <c r="V683" s="48"/>
      <c r="W683" s="48"/>
    </row>
    <row r="684" ht="32.9" customHeight="true" spans="1:23">
      <c r="A684" s="18" t="s">
        <v>567</v>
      </c>
      <c r="B684" s="155" t="s">
        <v>887</v>
      </c>
      <c r="C684" s="18" t="s">
        <v>886</v>
      </c>
      <c r="D684" s="18" t="s">
        <v>83</v>
      </c>
      <c r="E684" s="18" t="s">
        <v>132</v>
      </c>
      <c r="F684" s="18" t="s">
        <v>481</v>
      </c>
      <c r="G684" s="18" t="s">
        <v>316</v>
      </c>
      <c r="H684" s="18" t="s">
        <v>317</v>
      </c>
      <c r="I684" s="48">
        <v>1495.74</v>
      </c>
      <c r="J684" s="48"/>
      <c r="K684" s="48"/>
      <c r="L684" s="48"/>
      <c r="M684" s="48"/>
      <c r="N684" s="48">
        <v>1495.74</v>
      </c>
      <c r="O684" s="48"/>
      <c r="P684" s="48"/>
      <c r="Q684" s="48"/>
      <c r="R684" s="48"/>
      <c r="S684" s="48"/>
      <c r="T684" s="48"/>
      <c r="U684" s="48"/>
      <c r="V684" s="48"/>
      <c r="W684" s="48"/>
    </row>
    <row r="685" ht="32.9" customHeight="true" spans="1:23">
      <c r="A685" s="18" t="s">
        <v>567</v>
      </c>
      <c r="B685" s="155" t="s">
        <v>887</v>
      </c>
      <c r="C685" s="18" t="s">
        <v>886</v>
      </c>
      <c r="D685" s="18" t="s">
        <v>83</v>
      </c>
      <c r="E685" s="18" t="s">
        <v>132</v>
      </c>
      <c r="F685" s="18" t="s">
        <v>481</v>
      </c>
      <c r="G685" s="18" t="s">
        <v>273</v>
      </c>
      <c r="H685" s="18" t="s">
        <v>274</v>
      </c>
      <c r="I685" s="48">
        <v>2298</v>
      </c>
      <c r="J685" s="48"/>
      <c r="K685" s="48"/>
      <c r="L685" s="48"/>
      <c r="M685" s="48"/>
      <c r="N685" s="48">
        <v>2298</v>
      </c>
      <c r="O685" s="48"/>
      <c r="P685" s="48"/>
      <c r="Q685" s="48"/>
      <c r="R685" s="48"/>
      <c r="S685" s="48"/>
      <c r="T685" s="48"/>
      <c r="U685" s="48"/>
      <c r="V685" s="48"/>
      <c r="W685" s="48"/>
    </row>
    <row r="686" ht="32.9" customHeight="true" spans="1:23">
      <c r="A686" s="18" t="s">
        <v>567</v>
      </c>
      <c r="B686" s="155" t="s">
        <v>887</v>
      </c>
      <c r="C686" s="18" t="s">
        <v>886</v>
      </c>
      <c r="D686" s="18" t="s">
        <v>83</v>
      </c>
      <c r="E686" s="18" t="s">
        <v>132</v>
      </c>
      <c r="F686" s="18" t="s">
        <v>481</v>
      </c>
      <c r="G686" s="18" t="s">
        <v>629</v>
      </c>
      <c r="H686" s="18" t="s">
        <v>630</v>
      </c>
      <c r="I686" s="48">
        <v>2831500</v>
      </c>
      <c r="J686" s="48"/>
      <c r="K686" s="48"/>
      <c r="L686" s="48"/>
      <c r="M686" s="48"/>
      <c r="N686" s="48">
        <v>2831500</v>
      </c>
      <c r="O686" s="48"/>
      <c r="P686" s="48"/>
      <c r="Q686" s="48"/>
      <c r="R686" s="48"/>
      <c r="S686" s="48"/>
      <c r="T686" s="48"/>
      <c r="U686" s="48"/>
      <c r="V686" s="48"/>
      <c r="W686" s="48"/>
    </row>
    <row r="687" ht="32.9" customHeight="true" spans="1:23">
      <c r="A687" s="18" t="s">
        <v>567</v>
      </c>
      <c r="B687" s="155" t="s">
        <v>887</v>
      </c>
      <c r="C687" s="18" t="s">
        <v>886</v>
      </c>
      <c r="D687" s="18" t="s">
        <v>83</v>
      </c>
      <c r="E687" s="18" t="s">
        <v>132</v>
      </c>
      <c r="F687" s="18" t="s">
        <v>481</v>
      </c>
      <c r="G687" s="18" t="s">
        <v>631</v>
      </c>
      <c r="H687" s="18" t="s">
        <v>632</v>
      </c>
      <c r="I687" s="48">
        <v>1984000</v>
      </c>
      <c r="J687" s="48"/>
      <c r="K687" s="48"/>
      <c r="L687" s="48"/>
      <c r="M687" s="48"/>
      <c r="N687" s="48">
        <v>1984000</v>
      </c>
      <c r="O687" s="48"/>
      <c r="P687" s="48"/>
      <c r="Q687" s="48"/>
      <c r="R687" s="48"/>
      <c r="S687" s="48"/>
      <c r="T687" s="48"/>
      <c r="U687" s="48"/>
      <c r="V687" s="48"/>
      <c r="W687" s="48"/>
    </row>
    <row r="688" ht="32.9" customHeight="true" spans="1:23">
      <c r="A688" s="18"/>
      <c r="B688" s="18"/>
      <c r="C688" s="18" t="s">
        <v>888</v>
      </c>
      <c r="D688" s="18"/>
      <c r="E688" s="18"/>
      <c r="F688" s="18"/>
      <c r="G688" s="18"/>
      <c r="H688" s="18"/>
      <c r="I688" s="48">
        <v>182338</v>
      </c>
      <c r="J688" s="48"/>
      <c r="K688" s="48"/>
      <c r="L688" s="48"/>
      <c r="M688" s="48"/>
      <c r="N688" s="48">
        <v>182338</v>
      </c>
      <c r="O688" s="48"/>
      <c r="P688" s="48"/>
      <c r="Q688" s="48"/>
      <c r="R688" s="48"/>
      <c r="S688" s="48"/>
      <c r="T688" s="48"/>
      <c r="U688" s="48"/>
      <c r="V688" s="48"/>
      <c r="W688" s="48"/>
    </row>
    <row r="689" ht="32.9" customHeight="true" spans="1:23">
      <c r="A689" s="18" t="s">
        <v>567</v>
      </c>
      <c r="B689" s="155" t="s">
        <v>889</v>
      </c>
      <c r="C689" s="18" t="s">
        <v>888</v>
      </c>
      <c r="D689" s="18" t="s">
        <v>83</v>
      </c>
      <c r="E689" s="18" t="s">
        <v>142</v>
      </c>
      <c r="F689" s="18" t="s">
        <v>549</v>
      </c>
      <c r="G689" s="18" t="s">
        <v>764</v>
      </c>
      <c r="H689" s="18" t="s">
        <v>765</v>
      </c>
      <c r="I689" s="48">
        <v>5800</v>
      </c>
      <c r="J689" s="48"/>
      <c r="K689" s="48"/>
      <c r="L689" s="48"/>
      <c r="M689" s="48"/>
      <c r="N689" s="48">
        <v>5800</v>
      </c>
      <c r="O689" s="48"/>
      <c r="P689" s="48"/>
      <c r="Q689" s="48"/>
      <c r="R689" s="48"/>
      <c r="S689" s="48"/>
      <c r="T689" s="48"/>
      <c r="U689" s="48"/>
      <c r="V689" s="48"/>
      <c r="W689" s="48"/>
    </row>
    <row r="690" ht="32.9" customHeight="true" spans="1:23">
      <c r="A690" s="18" t="s">
        <v>567</v>
      </c>
      <c r="B690" s="155" t="s">
        <v>889</v>
      </c>
      <c r="C690" s="18" t="s">
        <v>888</v>
      </c>
      <c r="D690" s="18" t="s">
        <v>83</v>
      </c>
      <c r="E690" s="18" t="s">
        <v>142</v>
      </c>
      <c r="F690" s="18" t="s">
        <v>549</v>
      </c>
      <c r="G690" s="18" t="s">
        <v>287</v>
      </c>
      <c r="H690" s="18" t="s">
        <v>288</v>
      </c>
      <c r="I690" s="48">
        <v>6338</v>
      </c>
      <c r="J690" s="48"/>
      <c r="K690" s="48"/>
      <c r="L690" s="48"/>
      <c r="M690" s="48"/>
      <c r="N690" s="48">
        <v>6338</v>
      </c>
      <c r="O690" s="48"/>
      <c r="P690" s="48"/>
      <c r="Q690" s="48"/>
      <c r="R690" s="48"/>
      <c r="S690" s="48"/>
      <c r="T690" s="48"/>
      <c r="U690" s="48"/>
      <c r="V690" s="48"/>
      <c r="W690" s="48"/>
    </row>
    <row r="691" ht="32.9" customHeight="true" spans="1:23">
      <c r="A691" s="18" t="s">
        <v>567</v>
      </c>
      <c r="B691" s="155" t="s">
        <v>889</v>
      </c>
      <c r="C691" s="18" t="s">
        <v>888</v>
      </c>
      <c r="D691" s="18" t="s">
        <v>83</v>
      </c>
      <c r="E691" s="18" t="s">
        <v>142</v>
      </c>
      <c r="F691" s="18" t="s">
        <v>549</v>
      </c>
      <c r="G691" s="18" t="s">
        <v>629</v>
      </c>
      <c r="H691" s="18" t="s">
        <v>630</v>
      </c>
      <c r="I691" s="48">
        <v>85000</v>
      </c>
      <c r="J691" s="48"/>
      <c r="K691" s="48"/>
      <c r="L691" s="48"/>
      <c r="M691" s="48"/>
      <c r="N691" s="48">
        <v>85000</v>
      </c>
      <c r="O691" s="48"/>
      <c r="P691" s="48"/>
      <c r="Q691" s="48"/>
      <c r="R691" s="48"/>
      <c r="S691" s="48"/>
      <c r="T691" s="48"/>
      <c r="U691" s="48"/>
      <c r="V691" s="48"/>
      <c r="W691" s="48"/>
    </row>
    <row r="692" ht="32.9" customHeight="true" spans="1:23">
      <c r="A692" s="18" t="s">
        <v>567</v>
      </c>
      <c r="B692" s="155" t="s">
        <v>889</v>
      </c>
      <c r="C692" s="18" t="s">
        <v>888</v>
      </c>
      <c r="D692" s="18" t="s">
        <v>83</v>
      </c>
      <c r="E692" s="18" t="s">
        <v>142</v>
      </c>
      <c r="F692" s="18" t="s">
        <v>549</v>
      </c>
      <c r="G692" s="18" t="s">
        <v>631</v>
      </c>
      <c r="H692" s="18" t="s">
        <v>632</v>
      </c>
      <c r="I692" s="48">
        <v>85200</v>
      </c>
      <c r="J692" s="48"/>
      <c r="K692" s="48"/>
      <c r="L692" s="48"/>
      <c r="M692" s="48"/>
      <c r="N692" s="48">
        <v>85200</v>
      </c>
      <c r="O692" s="48"/>
      <c r="P692" s="48"/>
      <c r="Q692" s="48"/>
      <c r="R692" s="48"/>
      <c r="S692" s="48"/>
      <c r="T692" s="48"/>
      <c r="U692" s="48"/>
      <c r="V692" s="48"/>
      <c r="W692" s="48"/>
    </row>
    <row r="693" ht="32.9" customHeight="true" spans="1:23">
      <c r="A693" s="18"/>
      <c r="B693" s="18"/>
      <c r="C693" s="18" t="s">
        <v>890</v>
      </c>
      <c r="D693" s="18"/>
      <c r="E693" s="18"/>
      <c r="F693" s="18"/>
      <c r="G693" s="18"/>
      <c r="H693" s="18"/>
      <c r="I693" s="48">
        <v>3385472.67</v>
      </c>
      <c r="J693" s="48"/>
      <c r="K693" s="48"/>
      <c r="L693" s="48"/>
      <c r="M693" s="48"/>
      <c r="N693" s="48">
        <v>3385472.67</v>
      </c>
      <c r="O693" s="48"/>
      <c r="P693" s="48"/>
      <c r="Q693" s="48"/>
      <c r="R693" s="48"/>
      <c r="S693" s="48"/>
      <c r="T693" s="48"/>
      <c r="U693" s="48"/>
      <c r="V693" s="48"/>
      <c r="W693" s="48"/>
    </row>
    <row r="694" ht="32.9" customHeight="true" spans="1:23">
      <c r="A694" s="18" t="s">
        <v>567</v>
      </c>
      <c r="B694" s="155" t="s">
        <v>891</v>
      </c>
      <c r="C694" s="18" t="s">
        <v>890</v>
      </c>
      <c r="D694" s="18" t="s">
        <v>83</v>
      </c>
      <c r="E694" s="18" t="s">
        <v>126</v>
      </c>
      <c r="F694" s="18" t="s">
        <v>542</v>
      </c>
      <c r="G694" s="18" t="s">
        <v>281</v>
      </c>
      <c r="H694" s="18" t="s">
        <v>282</v>
      </c>
      <c r="I694" s="48">
        <v>125781.5</v>
      </c>
      <c r="J694" s="48"/>
      <c r="K694" s="48"/>
      <c r="L694" s="48"/>
      <c r="M694" s="48"/>
      <c r="N694" s="48">
        <v>125781.5</v>
      </c>
      <c r="O694" s="48"/>
      <c r="P694" s="48"/>
      <c r="Q694" s="48"/>
      <c r="R694" s="48"/>
      <c r="S694" s="48"/>
      <c r="T694" s="48"/>
      <c r="U694" s="48"/>
      <c r="V694" s="48"/>
      <c r="W694" s="48"/>
    </row>
    <row r="695" ht="32.9" customHeight="true" spans="1:23">
      <c r="A695" s="18" t="s">
        <v>567</v>
      </c>
      <c r="B695" s="155" t="s">
        <v>891</v>
      </c>
      <c r="C695" s="18" t="s">
        <v>890</v>
      </c>
      <c r="D695" s="18" t="s">
        <v>83</v>
      </c>
      <c r="E695" s="18" t="s">
        <v>126</v>
      </c>
      <c r="F695" s="18" t="s">
        <v>542</v>
      </c>
      <c r="G695" s="18" t="s">
        <v>316</v>
      </c>
      <c r="H695" s="18" t="s">
        <v>317</v>
      </c>
      <c r="I695" s="48">
        <v>961841.67</v>
      </c>
      <c r="J695" s="48"/>
      <c r="K695" s="48"/>
      <c r="L695" s="48"/>
      <c r="M695" s="48"/>
      <c r="N695" s="48">
        <v>961841.67</v>
      </c>
      <c r="O695" s="48"/>
      <c r="P695" s="48"/>
      <c r="Q695" s="48"/>
      <c r="R695" s="48"/>
      <c r="S695" s="48"/>
      <c r="T695" s="48"/>
      <c r="U695" s="48"/>
      <c r="V695" s="48"/>
      <c r="W695" s="48"/>
    </row>
    <row r="696" ht="32.9" customHeight="true" spans="1:23">
      <c r="A696" s="18" t="s">
        <v>567</v>
      </c>
      <c r="B696" s="155" t="s">
        <v>891</v>
      </c>
      <c r="C696" s="18" t="s">
        <v>890</v>
      </c>
      <c r="D696" s="18" t="s">
        <v>83</v>
      </c>
      <c r="E696" s="18" t="s">
        <v>126</v>
      </c>
      <c r="F696" s="18" t="s">
        <v>542</v>
      </c>
      <c r="G696" s="18" t="s">
        <v>283</v>
      </c>
      <c r="H696" s="18" t="s">
        <v>284</v>
      </c>
      <c r="I696" s="48">
        <v>1008197.5</v>
      </c>
      <c r="J696" s="48"/>
      <c r="K696" s="48"/>
      <c r="L696" s="48"/>
      <c r="M696" s="48"/>
      <c r="N696" s="48">
        <v>1008197.5</v>
      </c>
      <c r="O696" s="48"/>
      <c r="P696" s="48"/>
      <c r="Q696" s="48"/>
      <c r="R696" s="48"/>
      <c r="S696" s="48"/>
      <c r="T696" s="48"/>
      <c r="U696" s="48"/>
      <c r="V696" s="48"/>
      <c r="W696" s="48"/>
    </row>
    <row r="697" ht="32.9" customHeight="true" spans="1:23">
      <c r="A697" s="18" t="s">
        <v>567</v>
      </c>
      <c r="B697" s="155" t="s">
        <v>891</v>
      </c>
      <c r="C697" s="18" t="s">
        <v>890</v>
      </c>
      <c r="D697" s="18" t="s">
        <v>83</v>
      </c>
      <c r="E697" s="18" t="s">
        <v>126</v>
      </c>
      <c r="F697" s="18" t="s">
        <v>542</v>
      </c>
      <c r="G697" s="18" t="s">
        <v>273</v>
      </c>
      <c r="H697" s="18" t="s">
        <v>274</v>
      </c>
      <c r="I697" s="48">
        <v>96552</v>
      </c>
      <c r="J697" s="48"/>
      <c r="K697" s="48"/>
      <c r="L697" s="48"/>
      <c r="M697" s="48"/>
      <c r="N697" s="48">
        <v>96552</v>
      </c>
      <c r="O697" s="48"/>
      <c r="P697" s="48"/>
      <c r="Q697" s="48"/>
      <c r="R697" s="48"/>
      <c r="S697" s="48"/>
      <c r="T697" s="48"/>
      <c r="U697" s="48"/>
      <c r="V697" s="48"/>
      <c r="W697" s="48"/>
    </row>
    <row r="698" ht="32.9" customHeight="true" spans="1:23">
      <c r="A698" s="18" t="s">
        <v>567</v>
      </c>
      <c r="B698" s="155" t="s">
        <v>891</v>
      </c>
      <c r="C698" s="18" t="s">
        <v>890</v>
      </c>
      <c r="D698" s="18" t="s">
        <v>83</v>
      </c>
      <c r="E698" s="18" t="s">
        <v>126</v>
      </c>
      <c r="F698" s="18" t="s">
        <v>542</v>
      </c>
      <c r="G698" s="18" t="s">
        <v>629</v>
      </c>
      <c r="H698" s="18" t="s">
        <v>630</v>
      </c>
      <c r="I698" s="48">
        <v>1193100</v>
      </c>
      <c r="J698" s="48"/>
      <c r="K698" s="48"/>
      <c r="L698" s="48"/>
      <c r="M698" s="48"/>
      <c r="N698" s="48">
        <v>1193100</v>
      </c>
      <c r="O698" s="48"/>
      <c r="P698" s="48"/>
      <c r="Q698" s="48"/>
      <c r="R698" s="48"/>
      <c r="S698" s="48"/>
      <c r="T698" s="48"/>
      <c r="U698" s="48"/>
      <c r="V698" s="48"/>
      <c r="W698" s="48"/>
    </row>
    <row r="699" ht="32.9" customHeight="true" spans="1:23">
      <c r="A699" s="18"/>
      <c r="B699" s="18"/>
      <c r="C699" s="18" t="s">
        <v>892</v>
      </c>
      <c r="D699" s="18"/>
      <c r="E699" s="18"/>
      <c r="F699" s="18"/>
      <c r="G699" s="18"/>
      <c r="H699" s="18"/>
      <c r="I699" s="48">
        <v>34000</v>
      </c>
      <c r="J699" s="48"/>
      <c r="K699" s="48"/>
      <c r="L699" s="48"/>
      <c r="M699" s="48"/>
      <c r="N699" s="48">
        <v>34000</v>
      </c>
      <c r="O699" s="48"/>
      <c r="P699" s="48"/>
      <c r="Q699" s="48"/>
      <c r="R699" s="48"/>
      <c r="S699" s="48"/>
      <c r="T699" s="48"/>
      <c r="U699" s="48"/>
      <c r="V699" s="48"/>
      <c r="W699" s="48"/>
    </row>
    <row r="700" ht="32.9" customHeight="true" spans="1:23">
      <c r="A700" s="18" t="s">
        <v>567</v>
      </c>
      <c r="B700" s="155" t="s">
        <v>893</v>
      </c>
      <c r="C700" s="18" t="s">
        <v>892</v>
      </c>
      <c r="D700" s="18" t="s">
        <v>83</v>
      </c>
      <c r="E700" s="18" t="s">
        <v>154</v>
      </c>
      <c r="F700" s="18" t="s">
        <v>569</v>
      </c>
      <c r="G700" s="18" t="s">
        <v>631</v>
      </c>
      <c r="H700" s="18" t="s">
        <v>632</v>
      </c>
      <c r="I700" s="48">
        <v>34000</v>
      </c>
      <c r="J700" s="48"/>
      <c r="K700" s="48"/>
      <c r="L700" s="48"/>
      <c r="M700" s="48"/>
      <c r="N700" s="48">
        <v>34000</v>
      </c>
      <c r="O700" s="48"/>
      <c r="P700" s="48"/>
      <c r="Q700" s="48"/>
      <c r="R700" s="48"/>
      <c r="S700" s="48"/>
      <c r="T700" s="48"/>
      <c r="U700" s="48"/>
      <c r="V700" s="48"/>
      <c r="W700" s="48"/>
    </row>
    <row r="701" ht="32.9" customHeight="true" spans="1:23">
      <c r="A701" s="18"/>
      <c r="B701" s="18"/>
      <c r="C701" s="18" t="s">
        <v>894</v>
      </c>
      <c r="D701" s="18"/>
      <c r="E701" s="18"/>
      <c r="F701" s="18"/>
      <c r="G701" s="18"/>
      <c r="H701" s="18"/>
      <c r="I701" s="48">
        <v>3000</v>
      </c>
      <c r="J701" s="48"/>
      <c r="K701" s="48"/>
      <c r="L701" s="48"/>
      <c r="M701" s="48"/>
      <c r="N701" s="48">
        <v>3000</v>
      </c>
      <c r="O701" s="48"/>
      <c r="P701" s="48"/>
      <c r="Q701" s="48"/>
      <c r="R701" s="48"/>
      <c r="S701" s="48"/>
      <c r="T701" s="48"/>
      <c r="U701" s="48"/>
      <c r="V701" s="48"/>
      <c r="W701" s="48"/>
    </row>
    <row r="702" ht="32.9" customHeight="true" spans="1:23">
      <c r="A702" s="18" t="s">
        <v>567</v>
      </c>
      <c r="B702" s="155" t="s">
        <v>895</v>
      </c>
      <c r="C702" s="18" t="s">
        <v>894</v>
      </c>
      <c r="D702" s="18" t="s">
        <v>83</v>
      </c>
      <c r="E702" s="18" t="s">
        <v>154</v>
      </c>
      <c r="F702" s="18" t="s">
        <v>569</v>
      </c>
      <c r="G702" s="18" t="s">
        <v>438</v>
      </c>
      <c r="H702" s="18" t="s">
        <v>439</v>
      </c>
      <c r="I702" s="48">
        <v>3000</v>
      </c>
      <c r="J702" s="48"/>
      <c r="K702" s="48"/>
      <c r="L702" s="48"/>
      <c r="M702" s="48"/>
      <c r="N702" s="48">
        <v>3000</v>
      </c>
      <c r="O702" s="48"/>
      <c r="P702" s="48"/>
      <c r="Q702" s="48"/>
      <c r="R702" s="48"/>
      <c r="S702" s="48"/>
      <c r="T702" s="48"/>
      <c r="U702" s="48"/>
      <c r="V702" s="48"/>
      <c r="W702" s="48"/>
    </row>
    <row r="703" ht="32.9" customHeight="true" spans="1:23">
      <c r="A703" s="18"/>
      <c r="B703" s="18"/>
      <c r="C703" s="18" t="s">
        <v>825</v>
      </c>
      <c r="D703" s="18"/>
      <c r="E703" s="18"/>
      <c r="F703" s="18"/>
      <c r="G703" s="18"/>
      <c r="H703" s="18"/>
      <c r="I703" s="48">
        <v>258000</v>
      </c>
      <c r="J703" s="48"/>
      <c r="K703" s="48"/>
      <c r="L703" s="48"/>
      <c r="M703" s="48"/>
      <c r="N703" s="48">
        <v>258000</v>
      </c>
      <c r="O703" s="48"/>
      <c r="P703" s="48"/>
      <c r="Q703" s="48"/>
      <c r="R703" s="48"/>
      <c r="S703" s="48"/>
      <c r="T703" s="48"/>
      <c r="U703" s="48"/>
      <c r="V703" s="48"/>
      <c r="W703" s="48"/>
    </row>
    <row r="704" ht="32.9" customHeight="true" spans="1:23">
      <c r="A704" s="18" t="s">
        <v>567</v>
      </c>
      <c r="B704" s="155" t="s">
        <v>896</v>
      </c>
      <c r="C704" s="18" t="s">
        <v>825</v>
      </c>
      <c r="D704" s="18" t="s">
        <v>83</v>
      </c>
      <c r="E704" s="18" t="s">
        <v>141</v>
      </c>
      <c r="F704" s="18" t="s">
        <v>555</v>
      </c>
      <c r="G704" s="18" t="s">
        <v>281</v>
      </c>
      <c r="H704" s="18" t="s">
        <v>282</v>
      </c>
      <c r="I704" s="48">
        <v>30000</v>
      </c>
      <c r="J704" s="48"/>
      <c r="K704" s="48"/>
      <c r="L704" s="48"/>
      <c r="M704" s="48"/>
      <c r="N704" s="48">
        <v>30000</v>
      </c>
      <c r="O704" s="48"/>
      <c r="P704" s="48"/>
      <c r="Q704" s="48"/>
      <c r="R704" s="48"/>
      <c r="S704" s="48"/>
      <c r="T704" s="48"/>
      <c r="U704" s="48"/>
      <c r="V704" s="48"/>
      <c r="W704" s="48"/>
    </row>
    <row r="705" ht="32.9" customHeight="true" spans="1:23">
      <c r="A705" s="18" t="s">
        <v>567</v>
      </c>
      <c r="B705" s="155" t="s">
        <v>896</v>
      </c>
      <c r="C705" s="18" t="s">
        <v>825</v>
      </c>
      <c r="D705" s="18" t="s">
        <v>83</v>
      </c>
      <c r="E705" s="18" t="s">
        <v>141</v>
      </c>
      <c r="F705" s="18" t="s">
        <v>555</v>
      </c>
      <c r="G705" s="18" t="s">
        <v>625</v>
      </c>
      <c r="H705" s="18" t="s">
        <v>626</v>
      </c>
      <c r="I705" s="48">
        <v>91000</v>
      </c>
      <c r="J705" s="48"/>
      <c r="K705" s="48"/>
      <c r="L705" s="48"/>
      <c r="M705" s="48"/>
      <c r="N705" s="48">
        <v>91000</v>
      </c>
      <c r="O705" s="48"/>
      <c r="P705" s="48"/>
      <c r="Q705" s="48"/>
      <c r="R705" s="48"/>
      <c r="S705" s="48"/>
      <c r="T705" s="48"/>
      <c r="U705" s="48"/>
      <c r="V705" s="48"/>
      <c r="W705" s="48"/>
    </row>
    <row r="706" ht="32.9" customHeight="true" spans="1:23">
      <c r="A706" s="18" t="s">
        <v>567</v>
      </c>
      <c r="B706" s="155" t="s">
        <v>896</v>
      </c>
      <c r="C706" s="18" t="s">
        <v>825</v>
      </c>
      <c r="D706" s="18" t="s">
        <v>83</v>
      </c>
      <c r="E706" s="18" t="s">
        <v>141</v>
      </c>
      <c r="F706" s="18" t="s">
        <v>555</v>
      </c>
      <c r="G706" s="18" t="s">
        <v>316</v>
      </c>
      <c r="H706" s="18" t="s">
        <v>317</v>
      </c>
      <c r="I706" s="48">
        <v>10000</v>
      </c>
      <c r="J706" s="48"/>
      <c r="K706" s="48"/>
      <c r="L706" s="48"/>
      <c r="M706" s="48"/>
      <c r="N706" s="48">
        <v>10000</v>
      </c>
      <c r="O706" s="48"/>
      <c r="P706" s="48"/>
      <c r="Q706" s="48"/>
      <c r="R706" s="48"/>
      <c r="S706" s="48"/>
      <c r="T706" s="48"/>
      <c r="U706" s="48"/>
      <c r="V706" s="48"/>
      <c r="W706" s="48"/>
    </row>
    <row r="707" ht="32.9" customHeight="true" spans="1:23">
      <c r="A707" s="18" t="s">
        <v>567</v>
      </c>
      <c r="B707" s="155" t="s">
        <v>896</v>
      </c>
      <c r="C707" s="18" t="s">
        <v>825</v>
      </c>
      <c r="D707" s="18" t="s">
        <v>83</v>
      </c>
      <c r="E707" s="18" t="s">
        <v>141</v>
      </c>
      <c r="F707" s="18" t="s">
        <v>555</v>
      </c>
      <c r="G707" s="18" t="s">
        <v>629</v>
      </c>
      <c r="H707" s="18" t="s">
        <v>630</v>
      </c>
      <c r="I707" s="48">
        <v>127000</v>
      </c>
      <c r="J707" s="48"/>
      <c r="K707" s="48"/>
      <c r="L707" s="48"/>
      <c r="M707" s="48"/>
      <c r="N707" s="48">
        <v>127000</v>
      </c>
      <c r="O707" s="48"/>
      <c r="P707" s="48"/>
      <c r="Q707" s="48"/>
      <c r="R707" s="48"/>
      <c r="S707" s="48"/>
      <c r="T707" s="48"/>
      <c r="U707" s="48"/>
      <c r="V707" s="48"/>
      <c r="W707" s="48"/>
    </row>
    <row r="708" ht="32.9" customHeight="true" spans="1:23">
      <c r="A708" s="18"/>
      <c r="B708" s="18"/>
      <c r="C708" s="18" t="s">
        <v>700</v>
      </c>
      <c r="D708" s="18"/>
      <c r="E708" s="18"/>
      <c r="F708" s="18"/>
      <c r="G708" s="18"/>
      <c r="H708" s="18"/>
      <c r="I708" s="48">
        <v>60000</v>
      </c>
      <c r="J708" s="48"/>
      <c r="K708" s="48"/>
      <c r="L708" s="48"/>
      <c r="M708" s="48"/>
      <c r="N708" s="48">
        <v>60000</v>
      </c>
      <c r="O708" s="48"/>
      <c r="P708" s="48"/>
      <c r="Q708" s="48"/>
      <c r="R708" s="48"/>
      <c r="S708" s="48"/>
      <c r="T708" s="48"/>
      <c r="U708" s="48"/>
      <c r="V708" s="48"/>
      <c r="W708" s="48"/>
    </row>
    <row r="709" ht="32.9" customHeight="true" spans="1:23">
      <c r="A709" s="18" t="s">
        <v>567</v>
      </c>
      <c r="B709" s="155" t="s">
        <v>897</v>
      </c>
      <c r="C709" s="18" t="s">
        <v>700</v>
      </c>
      <c r="D709" s="18" t="s">
        <v>83</v>
      </c>
      <c r="E709" s="18" t="s">
        <v>154</v>
      </c>
      <c r="F709" s="18" t="s">
        <v>569</v>
      </c>
      <c r="G709" s="18" t="s">
        <v>287</v>
      </c>
      <c r="H709" s="18" t="s">
        <v>288</v>
      </c>
      <c r="I709" s="48">
        <v>46000</v>
      </c>
      <c r="J709" s="48"/>
      <c r="K709" s="48"/>
      <c r="L709" s="48"/>
      <c r="M709" s="48"/>
      <c r="N709" s="48">
        <v>46000</v>
      </c>
      <c r="O709" s="48"/>
      <c r="P709" s="48"/>
      <c r="Q709" s="48"/>
      <c r="R709" s="48"/>
      <c r="S709" s="48"/>
      <c r="T709" s="48"/>
      <c r="U709" s="48"/>
      <c r="V709" s="48"/>
      <c r="W709" s="48"/>
    </row>
    <row r="710" ht="32.9" customHeight="true" spans="1:23">
      <c r="A710" s="18" t="s">
        <v>567</v>
      </c>
      <c r="B710" s="155" t="s">
        <v>897</v>
      </c>
      <c r="C710" s="18" t="s">
        <v>700</v>
      </c>
      <c r="D710" s="18" t="s">
        <v>83</v>
      </c>
      <c r="E710" s="18" t="s">
        <v>154</v>
      </c>
      <c r="F710" s="18" t="s">
        <v>569</v>
      </c>
      <c r="G710" s="18" t="s">
        <v>629</v>
      </c>
      <c r="H710" s="18" t="s">
        <v>630</v>
      </c>
      <c r="I710" s="48">
        <v>14000</v>
      </c>
      <c r="J710" s="48"/>
      <c r="K710" s="48"/>
      <c r="L710" s="48"/>
      <c r="M710" s="48"/>
      <c r="N710" s="48">
        <v>14000</v>
      </c>
      <c r="O710" s="48"/>
      <c r="P710" s="48"/>
      <c r="Q710" s="48"/>
      <c r="R710" s="48"/>
      <c r="S710" s="48"/>
      <c r="T710" s="48"/>
      <c r="U710" s="48"/>
      <c r="V710" s="48"/>
      <c r="W710" s="48"/>
    </row>
    <row r="711" ht="32.9" customHeight="true" spans="1:23">
      <c r="A711" s="18"/>
      <c r="B711" s="18"/>
      <c r="C711" s="18" t="s">
        <v>898</v>
      </c>
      <c r="D711" s="18"/>
      <c r="E711" s="18"/>
      <c r="F711" s="18"/>
      <c r="G711" s="18"/>
      <c r="H711" s="18"/>
      <c r="I711" s="48">
        <v>39600</v>
      </c>
      <c r="J711" s="48"/>
      <c r="K711" s="48"/>
      <c r="L711" s="48"/>
      <c r="M711" s="48"/>
      <c r="N711" s="48">
        <v>39600</v>
      </c>
      <c r="O711" s="48"/>
      <c r="P711" s="48"/>
      <c r="Q711" s="48"/>
      <c r="R711" s="48"/>
      <c r="S711" s="48"/>
      <c r="T711" s="48"/>
      <c r="U711" s="48"/>
      <c r="V711" s="48"/>
      <c r="W711" s="48"/>
    </row>
    <row r="712" ht="32.9" customHeight="true" spans="1:23">
      <c r="A712" s="18" t="s">
        <v>567</v>
      </c>
      <c r="B712" s="155" t="s">
        <v>899</v>
      </c>
      <c r="C712" s="18" t="s">
        <v>898</v>
      </c>
      <c r="D712" s="18" t="s">
        <v>83</v>
      </c>
      <c r="E712" s="18" t="s">
        <v>142</v>
      </c>
      <c r="F712" s="18" t="s">
        <v>549</v>
      </c>
      <c r="G712" s="18" t="s">
        <v>629</v>
      </c>
      <c r="H712" s="18" t="s">
        <v>630</v>
      </c>
      <c r="I712" s="48">
        <v>39600</v>
      </c>
      <c r="J712" s="48"/>
      <c r="K712" s="48"/>
      <c r="L712" s="48"/>
      <c r="M712" s="48"/>
      <c r="N712" s="48">
        <v>39600</v>
      </c>
      <c r="O712" s="48"/>
      <c r="P712" s="48"/>
      <c r="Q712" s="48"/>
      <c r="R712" s="48"/>
      <c r="S712" s="48"/>
      <c r="T712" s="48"/>
      <c r="U712" s="48"/>
      <c r="V712" s="48"/>
      <c r="W712" s="48"/>
    </row>
    <row r="713" ht="32.9" customHeight="true" spans="1:23">
      <c r="A713" s="18"/>
      <c r="B713" s="18"/>
      <c r="C713" s="18" t="s">
        <v>900</v>
      </c>
      <c r="D713" s="18"/>
      <c r="E713" s="18"/>
      <c r="F713" s="18"/>
      <c r="G713" s="18"/>
      <c r="H713" s="18"/>
      <c r="I713" s="48">
        <v>2120000</v>
      </c>
      <c r="J713" s="48"/>
      <c r="K713" s="48"/>
      <c r="L713" s="48"/>
      <c r="M713" s="48"/>
      <c r="N713" s="48">
        <v>2120000</v>
      </c>
      <c r="O713" s="48"/>
      <c r="P713" s="48"/>
      <c r="Q713" s="48"/>
      <c r="R713" s="48"/>
      <c r="S713" s="48"/>
      <c r="T713" s="48"/>
      <c r="U713" s="48"/>
      <c r="V713" s="48"/>
      <c r="W713" s="48"/>
    </row>
    <row r="714" ht="32.9" customHeight="true" spans="1:23">
      <c r="A714" s="18" t="s">
        <v>567</v>
      </c>
      <c r="B714" s="155" t="s">
        <v>901</v>
      </c>
      <c r="C714" s="18" t="s">
        <v>900</v>
      </c>
      <c r="D714" s="18" t="s">
        <v>83</v>
      </c>
      <c r="E714" s="18" t="s">
        <v>131</v>
      </c>
      <c r="F714" s="18" t="s">
        <v>498</v>
      </c>
      <c r="G714" s="18" t="s">
        <v>631</v>
      </c>
      <c r="H714" s="18" t="s">
        <v>632</v>
      </c>
      <c r="I714" s="48">
        <v>2120000</v>
      </c>
      <c r="J714" s="48"/>
      <c r="K714" s="48"/>
      <c r="L714" s="48"/>
      <c r="M714" s="48"/>
      <c r="N714" s="48">
        <v>2120000</v>
      </c>
      <c r="O714" s="48"/>
      <c r="P714" s="48"/>
      <c r="Q714" s="48"/>
      <c r="R714" s="48"/>
      <c r="S714" s="48"/>
      <c r="T714" s="48"/>
      <c r="U714" s="48"/>
      <c r="V714" s="48"/>
      <c r="W714" s="48"/>
    </row>
    <row r="715" ht="32.9" customHeight="true" spans="1:23">
      <c r="A715" s="18"/>
      <c r="B715" s="18"/>
      <c r="C715" s="18" t="s">
        <v>902</v>
      </c>
      <c r="D715" s="18"/>
      <c r="E715" s="18"/>
      <c r="F715" s="18"/>
      <c r="G715" s="18"/>
      <c r="H715" s="18"/>
      <c r="I715" s="48">
        <v>100000</v>
      </c>
      <c r="J715" s="48">
        <v>100000</v>
      </c>
      <c r="K715" s="48">
        <v>100000</v>
      </c>
      <c r="L715" s="48"/>
      <c r="M715" s="48"/>
      <c r="N715" s="48"/>
      <c r="O715" s="48"/>
      <c r="P715" s="48"/>
      <c r="Q715" s="48"/>
      <c r="R715" s="48"/>
      <c r="S715" s="48"/>
      <c r="T715" s="48"/>
      <c r="U715" s="48"/>
      <c r="V715" s="48"/>
      <c r="W715" s="48"/>
    </row>
    <row r="716" ht="32.9" customHeight="true" spans="1:23">
      <c r="A716" s="18" t="s">
        <v>567</v>
      </c>
      <c r="B716" s="155" t="s">
        <v>903</v>
      </c>
      <c r="C716" s="18" t="s">
        <v>902</v>
      </c>
      <c r="D716" s="18" t="s">
        <v>83</v>
      </c>
      <c r="E716" s="18" t="s">
        <v>110</v>
      </c>
      <c r="F716" s="18" t="s">
        <v>563</v>
      </c>
      <c r="G716" s="18" t="s">
        <v>316</v>
      </c>
      <c r="H716" s="18" t="s">
        <v>317</v>
      </c>
      <c r="I716" s="48">
        <v>100000</v>
      </c>
      <c r="J716" s="48">
        <v>100000</v>
      </c>
      <c r="K716" s="48">
        <v>100000</v>
      </c>
      <c r="L716" s="48"/>
      <c r="M716" s="48"/>
      <c r="N716" s="48"/>
      <c r="O716" s="48"/>
      <c r="P716" s="48"/>
      <c r="Q716" s="48"/>
      <c r="R716" s="48"/>
      <c r="S716" s="48"/>
      <c r="T716" s="48"/>
      <c r="U716" s="48"/>
      <c r="V716" s="48"/>
      <c r="W716" s="48"/>
    </row>
    <row r="717" ht="32.9" customHeight="true" spans="1:23">
      <c r="A717" s="18"/>
      <c r="B717" s="18"/>
      <c r="C717" s="18" t="s">
        <v>904</v>
      </c>
      <c r="D717" s="18"/>
      <c r="E717" s="18"/>
      <c r="F717" s="18"/>
      <c r="G717" s="18"/>
      <c r="H717" s="18"/>
      <c r="I717" s="48">
        <v>566400</v>
      </c>
      <c r="J717" s="48"/>
      <c r="K717" s="48"/>
      <c r="L717" s="48"/>
      <c r="M717" s="48"/>
      <c r="N717" s="48">
        <v>566400</v>
      </c>
      <c r="O717" s="48"/>
      <c r="P717" s="48"/>
      <c r="Q717" s="48"/>
      <c r="R717" s="48"/>
      <c r="S717" s="48"/>
      <c r="T717" s="48"/>
      <c r="U717" s="48"/>
      <c r="V717" s="48"/>
      <c r="W717" s="48"/>
    </row>
    <row r="718" ht="32.9" customHeight="true" spans="1:23">
      <c r="A718" s="18" t="s">
        <v>559</v>
      </c>
      <c r="B718" s="155" t="s">
        <v>905</v>
      </c>
      <c r="C718" s="18" t="s">
        <v>904</v>
      </c>
      <c r="D718" s="18" t="s">
        <v>85</v>
      </c>
      <c r="E718" s="18" t="s">
        <v>126</v>
      </c>
      <c r="F718" s="18" t="s">
        <v>542</v>
      </c>
      <c r="G718" s="18" t="s">
        <v>629</v>
      </c>
      <c r="H718" s="18" t="s">
        <v>630</v>
      </c>
      <c r="I718" s="48">
        <v>566400</v>
      </c>
      <c r="J718" s="48"/>
      <c r="K718" s="48"/>
      <c r="L718" s="48"/>
      <c r="M718" s="48"/>
      <c r="N718" s="48">
        <v>566400</v>
      </c>
      <c r="O718" s="48"/>
      <c r="P718" s="48"/>
      <c r="Q718" s="48"/>
      <c r="R718" s="48"/>
      <c r="S718" s="48"/>
      <c r="T718" s="48"/>
      <c r="U718" s="48"/>
      <c r="V718" s="48"/>
      <c r="W718" s="48"/>
    </row>
    <row r="719" ht="32.9" customHeight="true" spans="1:23">
      <c r="A719" s="18"/>
      <c r="B719" s="18"/>
      <c r="C719" s="18" t="s">
        <v>906</v>
      </c>
      <c r="D719" s="18"/>
      <c r="E719" s="18"/>
      <c r="F719" s="18"/>
      <c r="G719" s="18"/>
      <c r="H719" s="18"/>
      <c r="I719" s="48">
        <v>113532546.85</v>
      </c>
      <c r="J719" s="48"/>
      <c r="K719" s="48"/>
      <c r="L719" s="48"/>
      <c r="M719" s="48"/>
      <c r="N719" s="48"/>
      <c r="O719" s="48"/>
      <c r="P719" s="48"/>
      <c r="Q719" s="48"/>
      <c r="R719" s="48">
        <v>113532546.85</v>
      </c>
      <c r="S719" s="48">
        <v>113532546.85</v>
      </c>
      <c r="T719" s="48"/>
      <c r="U719" s="48"/>
      <c r="V719" s="48"/>
      <c r="W719" s="48"/>
    </row>
    <row r="720" ht="32.9" customHeight="true" spans="1:23">
      <c r="A720" s="18" t="s">
        <v>559</v>
      </c>
      <c r="B720" s="155" t="s">
        <v>907</v>
      </c>
      <c r="C720" s="18" t="s">
        <v>906</v>
      </c>
      <c r="D720" s="18" t="s">
        <v>85</v>
      </c>
      <c r="E720" s="18" t="s">
        <v>128</v>
      </c>
      <c r="F720" s="18" t="s">
        <v>424</v>
      </c>
      <c r="G720" s="18" t="s">
        <v>275</v>
      </c>
      <c r="H720" s="18" t="s">
        <v>276</v>
      </c>
      <c r="I720" s="48">
        <v>610000</v>
      </c>
      <c r="J720" s="48"/>
      <c r="K720" s="48"/>
      <c r="L720" s="48"/>
      <c r="M720" s="48"/>
      <c r="N720" s="48"/>
      <c r="O720" s="48"/>
      <c r="P720" s="48"/>
      <c r="Q720" s="48"/>
      <c r="R720" s="48">
        <v>610000</v>
      </c>
      <c r="S720" s="48">
        <v>610000</v>
      </c>
      <c r="T720" s="48"/>
      <c r="U720" s="48"/>
      <c r="V720" s="48"/>
      <c r="W720" s="48"/>
    </row>
    <row r="721" ht="32.9" customHeight="true" spans="1:23">
      <c r="A721" s="18" t="s">
        <v>559</v>
      </c>
      <c r="B721" s="155" t="s">
        <v>907</v>
      </c>
      <c r="C721" s="18" t="s">
        <v>906</v>
      </c>
      <c r="D721" s="18" t="s">
        <v>85</v>
      </c>
      <c r="E721" s="18" t="s">
        <v>128</v>
      </c>
      <c r="F721" s="18" t="s">
        <v>424</v>
      </c>
      <c r="G721" s="18" t="s">
        <v>341</v>
      </c>
      <c r="H721" s="18" t="s">
        <v>342</v>
      </c>
      <c r="I721" s="48">
        <v>20000</v>
      </c>
      <c r="J721" s="48"/>
      <c r="K721" s="48"/>
      <c r="L721" s="48"/>
      <c r="M721" s="48"/>
      <c r="N721" s="48"/>
      <c r="O721" s="48"/>
      <c r="P721" s="48"/>
      <c r="Q721" s="48"/>
      <c r="R721" s="48">
        <v>20000</v>
      </c>
      <c r="S721" s="48">
        <v>20000</v>
      </c>
      <c r="T721" s="48"/>
      <c r="U721" s="48"/>
      <c r="V721" s="48"/>
      <c r="W721" s="48"/>
    </row>
    <row r="722" ht="32.9" customHeight="true" spans="1:23">
      <c r="A722" s="18" t="s">
        <v>559</v>
      </c>
      <c r="B722" s="155" t="s">
        <v>907</v>
      </c>
      <c r="C722" s="18" t="s">
        <v>906</v>
      </c>
      <c r="D722" s="18" t="s">
        <v>85</v>
      </c>
      <c r="E722" s="18" t="s">
        <v>128</v>
      </c>
      <c r="F722" s="18" t="s">
        <v>424</v>
      </c>
      <c r="G722" s="18" t="s">
        <v>308</v>
      </c>
      <c r="H722" s="18" t="s">
        <v>309</v>
      </c>
      <c r="I722" s="48">
        <v>3000000</v>
      </c>
      <c r="J722" s="48"/>
      <c r="K722" s="48"/>
      <c r="L722" s="48"/>
      <c r="M722" s="48"/>
      <c r="N722" s="48"/>
      <c r="O722" s="48"/>
      <c r="P722" s="48"/>
      <c r="Q722" s="48"/>
      <c r="R722" s="48">
        <v>3000000</v>
      </c>
      <c r="S722" s="48">
        <v>3000000</v>
      </c>
      <c r="T722" s="48"/>
      <c r="U722" s="48"/>
      <c r="V722" s="48"/>
      <c r="W722" s="48"/>
    </row>
    <row r="723" ht="32.9" customHeight="true" spans="1:23">
      <c r="A723" s="18" t="s">
        <v>559</v>
      </c>
      <c r="B723" s="155" t="s">
        <v>907</v>
      </c>
      <c r="C723" s="18" t="s">
        <v>906</v>
      </c>
      <c r="D723" s="18" t="s">
        <v>85</v>
      </c>
      <c r="E723" s="18" t="s">
        <v>128</v>
      </c>
      <c r="F723" s="18" t="s">
        <v>424</v>
      </c>
      <c r="G723" s="18" t="s">
        <v>310</v>
      </c>
      <c r="H723" s="18" t="s">
        <v>311</v>
      </c>
      <c r="I723" s="48">
        <v>6800000</v>
      </c>
      <c r="J723" s="48"/>
      <c r="K723" s="48"/>
      <c r="L723" s="48"/>
      <c r="M723" s="48"/>
      <c r="N723" s="48"/>
      <c r="O723" s="48"/>
      <c r="P723" s="48"/>
      <c r="Q723" s="48"/>
      <c r="R723" s="48">
        <v>6800000</v>
      </c>
      <c r="S723" s="48">
        <v>6800000</v>
      </c>
      <c r="T723" s="48"/>
      <c r="U723" s="48"/>
      <c r="V723" s="48"/>
      <c r="W723" s="48"/>
    </row>
    <row r="724" ht="32.9" customHeight="true" spans="1:23">
      <c r="A724" s="18" t="s">
        <v>559</v>
      </c>
      <c r="B724" s="155" t="s">
        <v>907</v>
      </c>
      <c r="C724" s="18" t="s">
        <v>906</v>
      </c>
      <c r="D724" s="18" t="s">
        <v>85</v>
      </c>
      <c r="E724" s="18" t="s">
        <v>128</v>
      </c>
      <c r="F724" s="18" t="s">
        <v>424</v>
      </c>
      <c r="G724" s="18" t="s">
        <v>331</v>
      </c>
      <c r="H724" s="18" t="s">
        <v>330</v>
      </c>
      <c r="I724" s="48">
        <v>4214821.77</v>
      </c>
      <c r="J724" s="48"/>
      <c r="K724" s="48"/>
      <c r="L724" s="48"/>
      <c r="M724" s="48"/>
      <c r="N724" s="48"/>
      <c r="O724" s="48"/>
      <c r="P724" s="48"/>
      <c r="Q724" s="48"/>
      <c r="R724" s="48">
        <v>4214821.77</v>
      </c>
      <c r="S724" s="48">
        <v>4214821.77</v>
      </c>
      <c r="T724" s="48"/>
      <c r="U724" s="48"/>
      <c r="V724" s="48"/>
      <c r="W724" s="48"/>
    </row>
    <row r="725" ht="32.9" customHeight="true" spans="1:23">
      <c r="A725" s="18" t="s">
        <v>559</v>
      </c>
      <c r="B725" s="155" t="s">
        <v>907</v>
      </c>
      <c r="C725" s="18" t="s">
        <v>906</v>
      </c>
      <c r="D725" s="18" t="s">
        <v>85</v>
      </c>
      <c r="E725" s="18" t="s">
        <v>128</v>
      </c>
      <c r="F725" s="18" t="s">
        <v>424</v>
      </c>
      <c r="G725" s="18" t="s">
        <v>277</v>
      </c>
      <c r="H725" s="18" t="s">
        <v>278</v>
      </c>
      <c r="I725" s="48">
        <v>550000</v>
      </c>
      <c r="J725" s="48"/>
      <c r="K725" s="48"/>
      <c r="L725" s="48"/>
      <c r="M725" s="48"/>
      <c r="N725" s="48"/>
      <c r="O725" s="48"/>
      <c r="P725" s="48"/>
      <c r="Q725" s="48"/>
      <c r="R725" s="48">
        <v>550000</v>
      </c>
      <c r="S725" s="48">
        <v>550000</v>
      </c>
      <c r="T725" s="48"/>
      <c r="U725" s="48"/>
      <c r="V725" s="48"/>
      <c r="W725" s="48"/>
    </row>
    <row r="726" ht="32.9" customHeight="true" spans="1:23">
      <c r="A726" s="18" t="s">
        <v>559</v>
      </c>
      <c r="B726" s="155" t="s">
        <v>907</v>
      </c>
      <c r="C726" s="18" t="s">
        <v>906</v>
      </c>
      <c r="D726" s="18" t="s">
        <v>85</v>
      </c>
      <c r="E726" s="18" t="s">
        <v>128</v>
      </c>
      <c r="F726" s="18" t="s">
        <v>424</v>
      </c>
      <c r="G726" s="18" t="s">
        <v>314</v>
      </c>
      <c r="H726" s="18" t="s">
        <v>315</v>
      </c>
      <c r="I726" s="48">
        <v>3368365.29</v>
      </c>
      <c r="J726" s="48"/>
      <c r="K726" s="48"/>
      <c r="L726" s="48"/>
      <c r="M726" s="48"/>
      <c r="N726" s="48"/>
      <c r="O726" s="48"/>
      <c r="P726" s="48"/>
      <c r="Q726" s="48"/>
      <c r="R726" s="48">
        <v>3368365.29</v>
      </c>
      <c r="S726" s="48">
        <v>3368365.29</v>
      </c>
      <c r="T726" s="48"/>
      <c r="U726" s="48"/>
      <c r="V726" s="48"/>
      <c r="W726" s="48"/>
    </row>
    <row r="727" ht="32.9" customHeight="true" spans="1:23">
      <c r="A727" s="18" t="s">
        <v>559</v>
      </c>
      <c r="B727" s="155" t="s">
        <v>907</v>
      </c>
      <c r="C727" s="18" t="s">
        <v>906</v>
      </c>
      <c r="D727" s="18" t="s">
        <v>85</v>
      </c>
      <c r="E727" s="18" t="s">
        <v>128</v>
      </c>
      <c r="F727" s="18" t="s">
        <v>424</v>
      </c>
      <c r="G727" s="18" t="s">
        <v>328</v>
      </c>
      <c r="H727" s="18" t="s">
        <v>327</v>
      </c>
      <c r="I727" s="48">
        <v>110000</v>
      </c>
      <c r="J727" s="48"/>
      <c r="K727" s="48"/>
      <c r="L727" s="48"/>
      <c r="M727" s="48"/>
      <c r="N727" s="48"/>
      <c r="O727" s="48"/>
      <c r="P727" s="48"/>
      <c r="Q727" s="48"/>
      <c r="R727" s="48">
        <v>110000</v>
      </c>
      <c r="S727" s="48">
        <v>110000</v>
      </c>
      <c r="T727" s="48"/>
      <c r="U727" s="48"/>
      <c r="V727" s="48"/>
      <c r="W727" s="48"/>
    </row>
    <row r="728" ht="32.9" customHeight="true" spans="1:23">
      <c r="A728" s="18" t="s">
        <v>559</v>
      </c>
      <c r="B728" s="155" t="s">
        <v>907</v>
      </c>
      <c r="C728" s="18" t="s">
        <v>906</v>
      </c>
      <c r="D728" s="18" t="s">
        <v>85</v>
      </c>
      <c r="E728" s="18" t="s">
        <v>128</v>
      </c>
      <c r="F728" s="18" t="s">
        <v>424</v>
      </c>
      <c r="G728" s="18" t="s">
        <v>279</v>
      </c>
      <c r="H728" s="18" t="s">
        <v>280</v>
      </c>
      <c r="I728" s="48">
        <v>150000</v>
      </c>
      <c r="J728" s="48"/>
      <c r="K728" s="48"/>
      <c r="L728" s="48"/>
      <c r="M728" s="48"/>
      <c r="N728" s="48"/>
      <c r="O728" s="48"/>
      <c r="P728" s="48"/>
      <c r="Q728" s="48"/>
      <c r="R728" s="48">
        <v>150000</v>
      </c>
      <c r="S728" s="48">
        <v>150000</v>
      </c>
      <c r="T728" s="48"/>
      <c r="U728" s="48"/>
      <c r="V728" s="48"/>
      <c r="W728" s="48"/>
    </row>
    <row r="729" ht="32.9" customHeight="true" spans="1:23">
      <c r="A729" s="18" t="s">
        <v>559</v>
      </c>
      <c r="B729" s="155" t="s">
        <v>907</v>
      </c>
      <c r="C729" s="18" t="s">
        <v>906</v>
      </c>
      <c r="D729" s="18" t="s">
        <v>85</v>
      </c>
      <c r="E729" s="18" t="s">
        <v>128</v>
      </c>
      <c r="F729" s="18" t="s">
        <v>424</v>
      </c>
      <c r="G729" s="18" t="s">
        <v>281</v>
      </c>
      <c r="H729" s="18" t="s">
        <v>282</v>
      </c>
      <c r="I729" s="48">
        <v>1838671</v>
      </c>
      <c r="J729" s="48"/>
      <c r="K729" s="48"/>
      <c r="L729" s="48"/>
      <c r="M729" s="48"/>
      <c r="N729" s="48"/>
      <c r="O729" s="48"/>
      <c r="P729" s="48"/>
      <c r="Q729" s="48"/>
      <c r="R729" s="48">
        <v>1838671</v>
      </c>
      <c r="S729" s="48">
        <v>1838671</v>
      </c>
      <c r="T729" s="48"/>
      <c r="U729" s="48"/>
      <c r="V729" s="48"/>
      <c r="W729" s="48"/>
    </row>
    <row r="730" ht="32.9" customHeight="true" spans="1:23">
      <c r="A730" s="18" t="s">
        <v>559</v>
      </c>
      <c r="B730" s="155" t="s">
        <v>907</v>
      </c>
      <c r="C730" s="18" t="s">
        <v>906</v>
      </c>
      <c r="D730" s="18" t="s">
        <v>85</v>
      </c>
      <c r="E730" s="18" t="s">
        <v>128</v>
      </c>
      <c r="F730" s="18" t="s">
        <v>424</v>
      </c>
      <c r="G730" s="18" t="s">
        <v>290</v>
      </c>
      <c r="H730" s="18" t="s">
        <v>193</v>
      </c>
      <c r="I730" s="48">
        <v>150000</v>
      </c>
      <c r="J730" s="48"/>
      <c r="K730" s="48"/>
      <c r="L730" s="48"/>
      <c r="M730" s="48"/>
      <c r="N730" s="48"/>
      <c r="O730" s="48"/>
      <c r="P730" s="48"/>
      <c r="Q730" s="48"/>
      <c r="R730" s="48">
        <v>150000</v>
      </c>
      <c r="S730" s="48">
        <v>150000</v>
      </c>
      <c r="T730" s="48"/>
      <c r="U730" s="48"/>
      <c r="V730" s="48"/>
      <c r="W730" s="48"/>
    </row>
    <row r="731" ht="32.9" customHeight="true" spans="1:23">
      <c r="A731" s="18" t="s">
        <v>559</v>
      </c>
      <c r="B731" s="155" t="s">
        <v>907</v>
      </c>
      <c r="C731" s="18" t="s">
        <v>906</v>
      </c>
      <c r="D731" s="18" t="s">
        <v>85</v>
      </c>
      <c r="E731" s="18" t="s">
        <v>128</v>
      </c>
      <c r="F731" s="18" t="s">
        <v>424</v>
      </c>
      <c r="G731" s="18" t="s">
        <v>625</v>
      </c>
      <c r="H731" s="18" t="s">
        <v>626</v>
      </c>
      <c r="I731" s="48">
        <v>73720669.54</v>
      </c>
      <c r="J731" s="48"/>
      <c r="K731" s="48"/>
      <c r="L731" s="48"/>
      <c r="M731" s="48"/>
      <c r="N731" s="48"/>
      <c r="O731" s="48"/>
      <c r="P731" s="48"/>
      <c r="Q731" s="48"/>
      <c r="R731" s="48">
        <v>73720669.54</v>
      </c>
      <c r="S731" s="48">
        <v>73720669.54</v>
      </c>
      <c r="T731" s="48"/>
      <c r="U731" s="48"/>
      <c r="V731" s="48"/>
      <c r="W731" s="48"/>
    </row>
    <row r="732" ht="32.9" customHeight="true" spans="1:23">
      <c r="A732" s="18" t="s">
        <v>559</v>
      </c>
      <c r="B732" s="155" t="s">
        <v>907</v>
      </c>
      <c r="C732" s="18" t="s">
        <v>906</v>
      </c>
      <c r="D732" s="18" t="s">
        <v>85</v>
      </c>
      <c r="E732" s="18" t="s">
        <v>128</v>
      </c>
      <c r="F732" s="18" t="s">
        <v>424</v>
      </c>
      <c r="G732" s="18" t="s">
        <v>316</v>
      </c>
      <c r="H732" s="18" t="s">
        <v>317</v>
      </c>
      <c r="I732" s="48">
        <v>2645000</v>
      </c>
      <c r="J732" s="48"/>
      <c r="K732" s="48"/>
      <c r="L732" s="48"/>
      <c r="M732" s="48"/>
      <c r="N732" s="48"/>
      <c r="O732" s="48"/>
      <c r="P732" s="48"/>
      <c r="Q732" s="48"/>
      <c r="R732" s="48">
        <v>2645000</v>
      </c>
      <c r="S732" s="48">
        <v>2645000</v>
      </c>
      <c r="T732" s="48"/>
      <c r="U732" s="48"/>
      <c r="V732" s="48"/>
      <c r="W732" s="48"/>
    </row>
    <row r="733" ht="32.9" customHeight="true" spans="1:23">
      <c r="A733" s="18" t="s">
        <v>559</v>
      </c>
      <c r="B733" s="155" t="s">
        <v>907</v>
      </c>
      <c r="C733" s="18" t="s">
        <v>906</v>
      </c>
      <c r="D733" s="18" t="s">
        <v>85</v>
      </c>
      <c r="E733" s="18" t="s">
        <v>128</v>
      </c>
      <c r="F733" s="18" t="s">
        <v>424</v>
      </c>
      <c r="G733" s="18" t="s">
        <v>283</v>
      </c>
      <c r="H733" s="18" t="s">
        <v>284</v>
      </c>
      <c r="I733" s="48">
        <v>7982444.71</v>
      </c>
      <c r="J733" s="48"/>
      <c r="K733" s="48"/>
      <c r="L733" s="48"/>
      <c r="M733" s="48"/>
      <c r="N733" s="48"/>
      <c r="O733" s="48"/>
      <c r="P733" s="48"/>
      <c r="Q733" s="48"/>
      <c r="R733" s="48">
        <v>7982444.71</v>
      </c>
      <c r="S733" s="48">
        <v>7982444.71</v>
      </c>
      <c r="T733" s="48"/>
      <c r="U733" s="48"/>
      <c r="V733" s="48"/>
      <c r="W733" s="48"/>
    </row>
    <row r="734" ht="32.9" customHeight="true" spans="1:23">
      <c r="A734" s="18" t="s">
        <v>559</v>
      </c>
      <c r="B734" s="155" t="s">
        <v>907</v>
      </c>
      <c r="C734" s="18" t="s">
        <v>906</v>
      </c>
      <c r="D734" s="18" t="s">
        <v>85</v>
      </c>
      <c r="E734" s="18" t="s">
        <v>128</v>
      </c>
      <c r="F734" s="18" t="s">
        <v>424</v>
      </c>
      <c r="G734" s="18" t="s">
        <v>270</v>
      </c>
      <c r="H734" s="18" t="s">
        <v>269</v>
      </c>
      <c r="I734" s="48">
        <v>945744.71</v>
      </c>
      <c r="J734" s="48"/>
      <c r="K734" s="48"/>
      <c r="L734" s="48"/>
      <c r="M734" s="48"/>
      <c r="N734" s="48"/>
      <c r="O734" s="48"/>
      <c r="P734" s="48"/>
      <c r="Q734" s="48"/>
      <c r="R734" s="48">
        <v>945744.71</v>
      </c>
      <c r="S734" s="48">
        <v>945744.71</v>
      </c>
      <c r="T734" s="48"/>
      <c r="U734" s="48"/>
      <c r="V734" s="48"/>
      <c r="W734" s="48"/>
    </row>
    <row r="735" ht="32.9" customHeight="true" spans="1:23">
      <c r="A735" s="18" t="s">
        <v>559</v>
      </c>
      <c r="B735" s="155" t="s">
        <v>907</v>
      </c>
      <c r="C735" s="18" t="s">
        <v>906</v>
      </c>
      <c r="D735" s="18" t="s">
        <v>85</v>
      </c>
      <c r="E735" s="18" t="s">
        <v>128</v>
      </c>
      <c r="F735" s="18" t="s">
        <v>424</v>
      </c>
      <c r="G735" s="18" t="s">
        <v>285</v>
      </c>
      <c r="H735" s="18" t="s">
        <v>286</v>
      </c>
      <c r="I735" s="48">
        <v>94300</v>
      </c>
      <c r="J735" s="48"/>
      <c r="K735" s="48"/>
      <c r="L735" s="48"/>
      <c r="M735" s="48"/>
      <c r="N735" s="48"/>
      <c r="O735" s="48"/>
      <c r="P735" s="48"/>
      <c r="Q735" s="48"/>
      <c r="R735" s="48">
        <v>94300</v>
      </c>
      <c r="S735" s="48">
        <v>94300</v>
      </c>
      <c r="T735" s="48"/>
      <c r="U735" s="48"/>
      <c r="V735" s="48"/>
      <c r="W735" s="48"/>
    </row>
    <row r="736" ht="32.9" customHeight="true" spans="1:23">
      <c r="A736" s="18" t="s">
        <v>559</v>
      </c>
      <c r="B736" s="155" t="s">
        <v>907</v>
      </c>
      <c r="C736" s="18" t="s">
        <v>906</v>
      </c>
      <c r="D736" s="18" t="s">
        <v>85</v>
      </c>
      <c r="E736" s="18" t="s">
        <v>128</v>
      </c>
      <c r="F736" s="18" t="s">
        <v>424</v>
      </c>
      <c r="G736" s="18" t="s">
        <v>262</v>
      </c>
      <c r="H736" s="18" t="s">
        <v>263</v>
      </c>
      <c r="I736" s="48">
        <v>250000</v>
      </c>
      <c r="J736" s="48"/>
      <c r="K736" s="48"/>
      <c r="L736" s="48"/>
      <c r="M736" s="48"/>
      <c r="N736" s="48"/>
      <c r="O736" s="48"/>
      <c r="P736" s="48"/>
      <c r="Q736" s="48"/>
      <c r="R736" s="48">
        <v>250000</v>
      </c>
      <c r="S736" s="48">
        <v>250000</v>
      </c>
      <c r="T736" s="48"/>
      <c r="U736" s="48"/>
      <c r="V736" s="48"/>
      <c r="W736" s="48"/>
    </row>
    <row r="737" ht="32.9" customHeight="true" spans="1:23">
      <c r="A737" s="18" t="s">
        <v>559</v>
      </c>
      <c r="B737" s="155" t="s">
        <v>907</v>
      </c>
      <c r="C737" s="18" t="s">
        <v>906</v>
      </c>
      <c r="D737" s="18" t="s">
        <v>85</v>
      </c>
      <c r="E737" s="18" t="s">
        <v>128</v>
      </c>
      <c r="F737" s="18" t="s">
        <v>424</v>
      </c>
      <c r="G737" s="18" t="s">
        <v>746</v>
      </c>
      <c r="H737" s="18" t="s">
        <v>747</v>
      </c>
      <c r="I737" s="48">
        <v>3000</v>
      </c>
      <c r="J737" s="48"/>
      <c r="K737" s="48"/>
      <c r="L737" s="48"/>
      <c r="M737" s="48"/>
      <c r="N737" s="48"/>
      <c r="O737" s="48"/>
      <c r="P737" s="48"/>
      <c r="Q737" s="48"/>
      <c r="R737" s="48">
        <v>3000</v>
      </c>
      <c r="S737" s="48">
        <v>3000</v>
      </c>
      <c r="T737" s="48"/>
      <c r="U737" s="48"/>
      <c r="V737" s="48"/>
      <c r="W737" s="48"/>
    </row>
    <row r="738" ht="32.9" customHeight="true" spans="1:23">
      <c r="A738" s="18" t="s">
        <v>559</v>
      </c>
      <c r="B738" s="155" t="s">
        <v>907</v>
      </c>
      <c r="C738" s="18" t="s">
        <v>906</v>
      </c>
      <c r="D738" s="18" t="s">
        <v>85</v>
      </c>
      <c r="E738" s="18" t="s">
        <v>128</v>
      </c>
      <c r="F738" s="18" t="s">
        <v>424</v>
      </c>
      <c r="G738" s="18" t="s">
        <v>273</v>
      </c>
      <c r="H738" s="18" t="s">
        <v>274</v>
      </c>
      <c r="I738" s="48">
        <v>1626529.83</v>
      </c>
      <c r="J738" s="48"/>
      <c r="K738" s="48"/>
      <c r="L738" s="48"/>
      <c r="M738" s="48"/>
      <c r="N738" s="48"/>
      <c r="O738" s="48"/>
      <c r="P738" s="48"/>
      <c r="Q738" s="48"/>
      <c r="R738" s="48">
        <v>1626529.83</v>
      </c>
      <c r="S738" s="48">
        <v>1626529.83</v>
      </c>
      <c r="T738" s="48"/>
      <c r="U738" s="48"/>
      <c r="V738" s="48"/>
      <c r="W738" s="48"/>
    </row>
    <row r="739" ht="32.9" customHeight="true" spans="1:23">
      <c r="A739" s="18" t="s">
        <v>559</v>
      </c>
      <c r="B739" s="155" t="s">
        <v>907</v>
      </c>
      <c r="C739" s="18" t="s">
        <v>906</v>
      </c>
      <c r="D739" s="18" t="s">
        <v>85</v>
      </c>
      <c r="E739" s="18" t="s">
        <v>128</v>
      </c>
      <c r="F739" s="18" t="s">
        <v>424</v>
      </c>
      <c r="G739" s="18" t="s">
        <v>287</v>
      </c>
      <c r="H739" s="18" t="s">
        <v>288</v>
      </c>
      <c r="I739" s="48">
        <v>503000</v>
      </c>
      <c r="J739" s="48"/>
      <c r="K739" s="48"/>
      <c r="L739" s="48"/>
      <c r="M739" s="48"/>
      <c r="N739" s="48"/>
      <c r="O739" s="48"/>
      <c r="P739" s="48"/>
      <c r="Q739" s="48"/>
      <c r="R739" s="48">
        <v>503000</v>
      </c>
      <c r="S739" s="48">
        <v>503000</v>
      </c>
      <c r="T739" s="48"/>
      <c r="U739" s="48"/>
      <c r="V739" s="48"/>
      <c r="W739" s="48"/>
    </row>
    <row r="740" ht="32.9" customHeight="true" spans="1:23">
      <c r="A740" s="18" t="s">
        <v>559</v>
      </c>
      <c r="B740" s="155" t="s">
        <v>907</v>
      </c>
      <c r="C740" s="18" t="s">
        <v>906</v>
      </c>
      <c r="D740" s="18" t="s">
        <v>85</v>
      </c>
      <c r="E740" s="18" t="s">
        <v>128</v>
      </c>
      <c r="F740" s="18" t="s">
        <v>424</v>
      </c>
      <c r="G740" s="18" t="s">
        <v>629</v>
      </c>
      <c r="H740" s="18" t="s">
        <v>630</v>
      </c>
      <c r="I740" s="48">
        <v>4700000</v>
      </c>
      <c r="J740" s="48"/>
      <c r="K740" s="48"/>
      <c r="L740" s="48"/>
      <c r="M740" s="48"/>
      <c r="N740" s="48"/>
      <c r="O740" s="48"/>
      <c r="P740" s="48"/>
      <c r="Q740" s="48"/>
      <c r="R740" s="48">
        <v>4700000</v>
      </c>
      <c r="S740" s="48">
        <v>4700000</v>
      </c>
      <c r="T740" s="48"/>
      <c r="U740" s="48"/>
      <c r="V740" s="48"/>
      <c r="W740" s="48"/>
    </row>
    <row r="741" ht="32.9" customHeight="true" spans="1:23">
      <c r="A741" s="18" t="s">
        <v>559</v>
      </c>
      <c r="B741" s="155" t="s">
        <v>907</v>
      </c>
      <c r="C741" s="18" t="s">
        <v>906</v>
      </c>
      <c r="D741" s="18" t="s">
        <v>85</v>
      </c>
      <c r="E741" s="18" t="s">
        <v>128</v>
      </c>
      <c r="F741" s="18" t="s">
        <v>424</v>
      </c>
      <c r="G741" s="18" t="s">
        <v>881</v>
      </c>
      <c r="H741" s="18" t="s">
        <v>882</v>
      </c>
      <c r="I741" s="48">
        <v>250000</v>
      </c>
      <c r="J741" s="48"/>
      <c r="K741" s="48"/>
      <c r="L741" s="48"/>
      <c r="M741" s="48"/>
      <c r="N741" s="48"/>
      <c r="O741" s="48"/>
      <c r="P741" s="48"/>
      <c r="Q741" s="48"/>
      <c r="R741" s="48">
        <v>250000</v>
      </c>
      <c r="S741" s="48">
        <v>250000</v>
      </c>
      <c r="T741" s="48"/>
      <c r="U741" s="48"/>
      <c r="V741" s="48"/>
      <c r="W741" s="48"/>
    </row>
    <row r="742" ht="18.75" customHeight="true" spans="1:23">
      <c r="A742" s="43" t="s">
        <v>908</v>
      </c>
      <c r="B742" s="44"/>
      <c r="C742" s="44"/>
      <c r="D742" s="44"/>
      <c r="E742" s="44"/>
      <c r="F742" s="44"/>
      <c r="G742" s="44"/>
      <c r="H742" s="49"/>
      <c r="I742" s="48">
        <v>1904128726.74</v>
      </c>
      <c r="J742" s="48">
        <v>283971568.5</v>
      </c>
      <c r="K742" s="48">
        <v>283971568.5</v>
      </c>
      <c r="L742" s="48"/>
      <c r="M742" s="48"/>
      <c r="N742" s="48">
        <v>116558016.84</v>
      </c>
      <c r="O742" s="48"/>
      <c r="P742" s="48"/>
      <c r="Q742" s="48"/>
      <c r="R742" s="48">
        <v>1503599141.4</v>
      </c>
      <c r="S742" s="48">
        <v>1503599141.4</v>
      </c>
      <c r="T742" s="48"/>
      <c r="U742" s="48"/>
      <c r="V742" s="48"/>
      <c r="W742" s="48"/>
    </row>
  </sheetData>
  <autoFilter ref="A7:W742">
    <extLst/>
  </autoFilter>
  <mergeCells count="28">
    <mergeCell ref="A2:W2"/>
    <mergeCell ref="A3:I3"/>
    <mergeCell ref="J4:M4"/>
    <mergeCell ref="N4:P4"/>
    <mergeCell ref="R4:W4"/>
    <mergeCell ref="J5:K5"/>
    <mergeCell ref="A742:H74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J342"/>
  <sheetViews>
    <sheetView showZeros="0" tabSelected="1" topLeftCell="A141" workbookViewId="0">
      <selection activeCell="B140" sqref="B140:B149"/>
    </sheetView>
  </sheetViews>
  <sheetFormatPr defaultColWidth="9.14166666666667" defaultRowHeight="12" customHeight="true"/>
  <cols>
    <col min="1" max="1" width="34.2833333333333" customWidth="true"/>
    <col min="2" max="2" width="29" customWidth="true"/>
    <col min="3" max="3" width="17.175" customWidth="true"/>
    <col min="4" max="4" width="21.0333333333333" customWidth="true"/>
    <col min="5" max="5" width="23.575" customWidth="true"/>
    <col min="6" max="6" width="11.2833333333333" customWidth="true"/>
    <col min="7" max="7" width="10.3166666666667" customWidth="true"/>
    <col min="8" max="8" width="9.31666666666667" customWidth="true"/>
    <col min="9" max="9" width="13.425" customWidth="true"/>
    <col min="10" max="10" width="27.45" customWidth="true"/>
  </cols>
  <sheetData>
    <row r="1" customHeight="true" spans="10:10">
      <c r="J1" s="150" t="s">
        <v>909</v>
      </c>
    </row>
    <row r="2" ht="28.5" customHeight="true" spans="1:10">
      <c r="A2" s="149" t="s">
        <v>910</v>
      </c>
      <c r="B2" s="33"/>
      <c r="C2" s="33"/>
      <c r="D2" s="33"/>
      <c r="E2" s="33"/>
      <c r="F2" s="109"/>
      <c r="G2" s="33"/>
      <c r="H2" s="109"/>
      <c r="I2" s="109"/>
      <c r="J2" s="33"/>
    </row>
    <row r="3" ht="15" customHeight="true" spans="1:1">
      <c r="A3" s="4" t="str">
        <f>"单位名称："&amp;"玉溪市卫生健康委员会"</f>
        <v>单位名称：玉溪市卫生健康委员会</v>
      </c>
    </row>
    <row r="4" ht="14.25" customHeight="true" spans="1:10">
      <c r="A4" s="68" t="s">
        <v>911</v>
      </c>
      <c r="B4" s="68" t="s">
        <v>912</v>
      </c>
      <c r="C4" s="68" t="s">
        <v>913</v>
      </c>
      <c r="D4" s="68" t="s">
        <v>914</v>
      </c>
      <c r="E4" s="68" t="s">
        <v>915</v>
      </c>
      <c r="F4" s="55" t="s">
        <v>916</v>
      </c>
      <c r="G4" s="68" t="s">
        <v>917</v>
      </c>
      <c r="H4" s="55" t="s">
        <v>918</v>
      </c>
      <c r="I4" s="55" t="s">
        <v>919</v>
      </c>
      <c r="J4" s="68" t="s">
        <v>920</v>
      </c>
    </row>
    <row r="5" ht="14.25" customHeight="true" spans="1:10">
      <c r="A5" s="68">
        <v>1</v>
      </c>
      <c r="B5" s="68">
        <v>2</v>
      </c>
      <c r="C5" s="68">
        <v>3</v>
      </c>
      <c r="D5" s="68">
        <v>4</v>
      </c>
      <c r="E5" s="68">
        <v>5</v>
      </c>
      <c r="F5" s="55">
        <v>6</v>
      </c>
      <c r="G5" s="68">
        <v>7</v>
      </c>
      <c r="H5" s="55">
        <v>8</v>
      </c>
      <c r="I5" s="55">
        <v>9</v>
      </c>
      <c r="J5" s="68">
        <v>10</v>
      </c>
    </row>
    <row r="6" ht="15" customHeight="true" spans="1:10">
      <c r="A6" s="18" t="s">
        <v>64</v>
      </c>
      <c r="B6" s="69"/>
      <c r="C6" s="69"/>
      <c r="D6" s="69"/>
      <c r="E6" s="75"/>
      <c r="F6" s="76"/>
      <c r="G6" s="75"/>
      <c r="H6" s="76"/>
      <c r="I6" s="76"/>
      <c r="J6" s="75"/>
    </row>
    <row r="7" ht="33.75" customHeight="true" spans="1:10">
      <c r="A7" s="70" t="s">
        <v>64</v>
      </c>
      <c r="B7" s="18"/>
      <c r="C7" s="18"/>
      <c r="D7" s="18"/>
      <c r="E7" s="18"/>
      <c r="F7" s="18"/>
      <c r="G7" s="41"/>
      <c r="H7" s="18"/>
      <c r="I7" s="18"/>
      <c r="J7" s="18"/>
    </row>
    <row r="8" ht="54" customHeight="true" spans="1:10">
      <c r="A8" s="18" t="s">
        <v>579</v>
      </c>
      <c r="B8" s="71" t="s">
        <v>921</v>
      </c>
      <c r="C8" s="18" t="s">
        <v>922</v>
      </c>
      <c r="D8" s="18" t="s">
        <v>923</v>
      </c>
      <c r="E8" s="18" t="s">
        <v>924</v>
      </c>
      <c r="F8" s="18" t="s">
        <v>925</v>
      </c>
      <c r="G8" s="41" t="s">
        <v>926</v>
      </c>
      <c r="H8" s="18" t="s">
        <v>927</v>
      </c>
      <c r="I8" s="18" t="s">
        <v>928</v>
      </c>
      <c r="J8" s="18" t="s">
        <v>929</v>
      </c>
    </row>
    <row r="9" ht="54" customHeight="true" spans="1:10">
      <c r="A9" s="18" t="s">
        <v>579</v>
      </c>
      <c r="B9" s="72"/>
      <c r="C9" s="18" t="s">
        <v>922</v>
      </c>
      <c r="D9" s="18" t="s">
        <v>923</v>
      </c>
      <c r="E9" s="18" t="s">
        <v>930</v>
      </c>
      <c r="F9" s="18" t="s">
        <v>925</v>
      </c>
      <c r="G9" s="41" t="s">
        <v>931</v>
      </c>
      <c r="H9" s="18" t="s">
        <v>932</v>
      </c>
      <c r="I9" s="18" t="s">
        <v>928</v>
      </c>
      <c r="J9" s="18" t="s">
        <v>929</v>
      </c>
    </row>
    <row r="10" ht="54" customHeight="true" spans="1:10">
      <c r="A10" s="18" t="s">
        <v>579</v>
      </c>
      <c r="B10" s="72"/>
      <c r="C10" s="18" t="s">
        <v>922</v>
      </c>
      <c r="D10" s="18" t="s">
        <v>933</v>
      </c>
      <c r="E10" s="18" t="s">
        <v>934</v>
      </c>
      <c r="F10" s="18" t="s">
        <v>925</v>
      </c>
      <c r="G10" s="41" t="s">
        <v>935</v>
      </c>
      <c r="H10" s="18" t="s">
        <v>927</v>
      </c>
      <c r="I10" s="18" t="s">
        <v>928</v>
      </c>
      <c r="J10" s="18" t="s">
        <v>929</v>
      </c>
    </row>
    <row r="11" ht="54" customHeight="true" spans="1:10">
      <c r="A11" s="18" t="s">
        <v>579</v>
      </c>
      <c r="B11" s="72"/>
      <c r="C11" s="18" t="s">
        <v>922</v>
      </c>
      <c r="D11" s="18" t="s">
        <v>936</v>
      </c>
      <c r="E11" s="18" t="s">
        <v>937</v>
      </c>
      <c r="F11" s="18" t="s">
        <v>938</v>
      </c>
      <c r="G11" s="41" t="s">
        <v>939</v>
      </c>
      <c r="H11" s="18" t="s">
        <v>927</v>
      </c>
      <c r="I11" s="18" t="s">
        <v>928</v>
      </c>
      <c r="J11" s="18" t="s">
        <v>929</v>
      </c>
    </row>
    <row r="12" ht="54" customHeight="true" spans="1:10">
      <c r="A12" s="18" t="s">
        <v>579</v>
      </c>
      <c r="B12" s="72"/>
      <c r="C12" s="18" t="s">
        <v>940</v>
      </c>
      <c r="D12" s="18" t="s">
        <v>941</v>
      </c>
      <c r="E12" s="18" t="s">
        <v>942</v>
      </c>
      <c r="F12" s="18" t="s">
        <v>925</v>
      </c>
      <c r="G12" s="41" t="s">
        <v>943</v>
      </c>
      <c r="H12" s="18" t="s">
        <v>927</v>
      </c>
      <c r="I12" s="18" t="s">
        <v>928</v>
      </c>
      <c r="J12" s="18" t="s">
        <v>929</v>
      </c>
    </row>
    <row r="13" ht="54" customHeight="true" spans="1:10">
      <c r="A13" s="18" t="s">
        <v>579</v>
      </c>
      <c r="B13" s="73"/>
      <c r="C13" s="18" t="s">
        <v>944</v>
      </c>
      <c r="D13" s="18" t="s">
        <v>945</v>
      </c>
      <c r="E13" s="18" t="s">
        <v>946</v>
      </c>
      <c r="F13" s="18" t="s">
        <v>925</v>
      </c>
      <c r="G13" s="41" t="s">
        <v>943</v>
      </c>
      <c r="H13" s="18" t="s">
        <v>927</v>
      </c>
      <c r="I13" s="18" t="s">
        <v>928</v>
      </c>
      <c r="J13" s="18" t="s">
        <v>929</v>
      </c>
    </row>
    <row r="14" ht="33.75" customHeight="true" spans="1:10">
      <c r="A14" s="18" t="s">
        <v>572</v>
      </c>
      <c r="B14" s="18" t="s">
        <v>947</v>
      </c>
      <c r="C14" s="18" t="s">
        <v>922</v>
      </c>
      <c r="D14" s="18" t="s">
        <v>923</v>
      </c>
      <c r="E14" s="18" t="s">
        <v>948</v>
      </c>
      <c r="F14" s="18" t="s">
        <v>938</v>
      </c>
      <c r="G14" s="41" t="s">
        <v>939</v>
      </c>
      <c r="H14" s="18" t="s">
        <v>927</v>
      </c>
      <c r="I14" s="18" t="s">
        <v>928</v>
      </c>
      <c r="J14" s="18" t="s">
        <v>929</v>
      </c>
    </row>
    <row r="15" ht="33.75" customHeight="true" spans="1:10">
      <c r="A15" s="18" t="s">
        <v>572</v>
      </c>
      <c r="B15" s="18" t="s">
        <v>947</v>
      </c>
      <c r="C15" s="18" t="s">
        <v>922</v>
      </c>
      <c r="D15" s="18" t="s">
        <v>923</v>
      </c>
      <c r="E15" s="18" t="s">
        <v>949</v>
      </c>
      <c r="F15" s="18" t="s">
        <v>938</v>
      </c>
      <c r="G15" s="41" t="s">
        <v>939</v>
      </c>
      <c r="H15" s="18" t="s">
        <v>927</v>
      </c>
      <c r="I15" s="18" t="s">
        <v>928</v>
      </c>
      <c r="J15" s="18" t="s">
        <v>929</v>
      </c>
    </row>
    <row r="16" ht="33.75" customHeight="true" spans="1:10">
      <c r="A16" s="18" t="s">
        <v>572</v>
      </c>
      <c r="B16" s="18" t="s">
        <v>947</v>
      </c>
      <c r="C16" s="18" t="s">
        <v>922</v>
      </c>
      <c r="D16" s="18" t="s">
        <v>923</v>
      </c>
      <c r="E16" s="18" t="s">
        <v>950</v>
      </c>
      <c r="F16" s="18" t="s">
        <v>925</v>
      </c>
      <c r="G16" s="41" t="s">
        <v>951</v>
      </c>
      <c r="H16" s="18" t="s">
        <v>952</v>
      </c>
      <c r="I16" s="18" t="s">
        <v>928</v>
      </c>
      <c r="J16" s="18" t="s">
        <v>929</v>
      </c>
    </row>
    <row r="17" ht="33.75" customHeight="true" spans="1:10">
      <c r="A17" s="18" t="s">
        <v>572</v>
      </c>
      <c r="B17" s="18" t="s">
        <v>947</v>
      </c>
      <c r="C17" s="18" t="s">
        <v>940</v>
      </c>
      <c r="D17" s="18" t="s">
        <v>953</v>
      </c>
      <c r="E17" s="18" t="s">
        <v>954</v>
      </c>
      <c r="F17" s="18" t="s">
        <v>938</v>
      </c>
      <c r="G17" s="41" t="s">
        <v>955</v>
      </c>
      <c r="H17" s="18"/>
      <c r="I17" s="18" t="s">
        <v>956</v>
      </c>
      <c r="J17" s="18" t="s">
        <v>929</v>
      </c>
    </row>
    <row r="18" ht="33.75" customHeight="true" spans="1:10">
      <c r="A18" s="18" t="s">
        <v>572</v>
      </c>
      <c r="B18" s="18" t="s">
        <v>947</v>
      </c>
      <c r="C18" s="18" t="s">
        <v>940</v>
      </c>
      <c r="D18" s="18" t="s">
        <v>957</v>
      </c>
      <c r="E18" s="18" t="s">
        <v>958</v>
      </c>
      <c r="F18" s="18" t="s">
        <v>938</v>
      </c>
      <c r="G18" s="41" t="s">
        <v>959</v>
      </c>
      <c r="H18" s="18"/>
      <c r="I18" s="18" t="s">
        <v>956</v>
      </c>
      <c r="J18" s="18" t="s">
        <v>929</v>
      </c>
    </row>
    <row r="19" ht="33.75" customHeight="true" spans="1:10">
      <c r="A19" s="18" t="s">
        <v>572</v>
      </c>
      <c r="B19" s="18" t="s">
        <v>947</v>
      </c>
      <c r="C19" s="18" t="s">
        <v>940</v>
      </c>
      <c r="D19" s="18" t="s">
        <v>957</v>
      </c>
      <c r="E19" s="18" t="s">
        <v>960</v>
      </c>
      <c r="F19" s="18" t="s">
        <v>938</v>
      </c>
      <c r="G19" s="41" t="s">
        <v>961</v>
      </c>
      <c r="H19" s="18"/>
      <c r="I19" s="18" t="s">
        <v>956</v>
      </c>
      <c r="J19" s="18" t="s">
        <v>929</v>
      </c>
    </row>
    <row r="20" ht="33.75" customHeight="true" spans="1:10">
      <c r="A20" s="18" t="s">
        <v>572</v>
      </c>
      <c r="B20" s="18" t="s">
        <v>947</v>
      </c>
      <c r="C20" s="18" t="s">
        <v>944</v>
      </c>
      <c r="D20" s="18" t="s">
        <v>945</v>
      </c>
      <c r="E20" s="18" t="s">
        <v>962</v>
      </c>
      <c r="F20" s="18" t="s">
        <v>925</v>
      </c>
      <c r="G20" s="41" t="s">
        <v>963</v>
      </c>
      <c r="H20" s="18" t="s">
        <v>927</v>
      </c>
      <c r="I20" s="18" t="s">
        <v>928</v>
      </c>
      <c r="J20" s="18" t="s">
        <v>929</v>
      </c>
    </row>
    <row r="21" ht="33.75" customHeight="true" spans="1:10">
      <c r="A21" s="18" t="s">
        <v>540</v>
      </c>
      <c r="B21" s="18" t="s">
        <v>964</v>
      </c>
      <c r="C21" s="18" t="s">
        <v>922</v>
      </c>
      <c r="D21" s="18" t="s">
        <v>923</v>
      </c>
      <c r="E21" s="18" t="s">
        <v>965</v>
      </c>
      <c r="F21" s="18" t="s">
        <v>938</v>
      </c>
      <c r="G21" s="41" t="s">
        <v>49</v>
      </c>
      <c r="H21" s="18" t="s">
        <v>952</v>
      </c>
      <c r="I21" s="18" t="s">
        <v>928</v>
      </c>
      <c r="J21" s="18" t="s">
        <v>966</v>
      </c>
    </row>
    <row r="22" ht="33.75" customHeight="true" spans="1:10">
      <c r="A22" s="18" t="s">
        <v>540</v>
      </c>
      <c r="B22" s="18" t="s">
        <v>964</v>
      </c>
      <c r="C22" s="18" t="s">
        <v>922</v>
      </c>
      <c r="D22" s="18" t="s">
        <v>933</v>
      </c>
      <c r="E22" s="18" t="s">
        <v>967</v>
      </c>
      <c r="F22" s="18" t="s">
        <v>925</v>
      </c>
      <c r="G22" s="41" t="s">
        <v>935</v>
      </c>
      <c r="H22" s="18" t="s">
        <v>927</v>
      </c>
      <c r="I22" s="18" t="s">
        <v>928</v>
      </c>
      <c r="J22" s="18" t="s">
        <v>968</v>
      </c>
    </row>
    <row r="23" ht="33.75" customHeight="true" spans="1:10">
      <c r="A23" s="18" t="s">
        <v>540</v>
      </c>
      <c r="B23" s="18" t="s">
        <v>964</v>
      </c>
      <c r="C23" s="18" t="s">
        <v>940</v>
      </c>
      <c r="D23" s="18" t="s">
        <v>941</v>
      </c>
      <c r="E23" s="18" t="s">
        <v>969</v>
      </c>
      <c r="F23" s="18" t="s">
        <v>925</v>
      </c>
      <c r="G23" s="41" t="s">
        <v>935</v>
      </c>
      <c r="H23" s="18" t="s">
        <v>927</v>
      </c>
      <c r="I23" s="18" t="s">
        <v>928</v>
      </c>
      <c r="J23" s="18" t="s">
        <v>970</v>
      </c>
    </row>
    <row r="24" ht="33.75" customHeight="true" spans="1:10">
      <c r="A24" s="18" t="s">
        <v>540</v>
      </c>
      <c r="B24" s="18" t="s">
        <v>964</v>
      </c>
      <c r="C24" s="18" t="s">
        <v>940</v>
      </c>
      <c r="D24" s="18" t="s">
        <v>941</v>
      </c>
      <c r="E24" s="18" t="s">
        <v>971</v>
      </c>
      <c r="F24" s="18" t="s">
        <v>925</v>
      </c>
      <c r="G24" s="41" t="s">
        <v>935</v>
      </c>
      <c r="H24" s="18" t="s">
        <v>927</v>
      </c>
      <c r="I24" s="18" t="s">
        <v>928</v>
      </c>
      <c r="J24" s="18" t="s">
        <v>971</v>
      </c>
    </row>
    <row r="25" ht="33.75" customHeight="true" spans="1:10">
      <c r="A25" s="18" t="s">
        <v>540</v>
      </c>
      <c r="B25" s="18" t="s">
        <v>964</v>
      </c>
      <c r="C25" s="18" t="s">
        <v>944</v>
      </c>
      <c r="D25" s="18" t="s">
        <v>945</v>
      </c>
      <c r="E25" s="18" t="s">
        <v>972</v>
      </c>
      <c r="F25" s="18" t="s">
        <v>925</v>
      </c>
      <c r="G25" s="41" t="s">
        <v>943</v>
      </c>
      <c r="H25" s="18" t="s">
        <v>927</v>
      </c>
      <c r="I25" s="18" t="s">
        <v>928</v>
      </c>
      <c r="J25" s="18" t="s">
        <v>973</v>
      </c>
    </row>
    <row r="26" ht="33.75" customHeight="true" spans="1:10">
      <c r="A26" s="18" t="s">
        <v>537</v>
      </c>
      <c r="B26" s="18" t="s">
        <v>974</v>
      </c>
      <c r="C26" s="18" t="s">
        <v>922</v>
      </c>
      <c r="D26" s="18" t="s">
        <v>923</v>
      </c>
      <c r="E26" s="18" t="s">
        <v>975</v>
      </c>
      <c r="F26" s="18" t="s">
        <v>925</v>
      </c>
      <c r="G26" s="41" t="s">
        <v>976</v>
      </c>
      <c r="H26" s="18" t="s">
        <v>977</v>
      </c>
      <c r="I26" s="18" t="s">
        <v>928</v>
      </c>
      <c r="J26" s="18" t="s">
        <v>978</v>
      </c>
    </row>
    <row r="27" ht="33.75" customHeight="true" spans="1:10">
      <c r="A27" s="18" t="s">
        <v>537</v>
      </c>
      <c r="B27" s="18" t="s">
        <v>974</v>
      </c>
      <c r="C27" s="18" t="s">
        <v>922</v>
      </c>
      <c r="D27" s="18" t="s">
        <v>923</v>
      </c>
      <c r="E27" s="18" t="s">
        <v>979</v>
      </c>
      <c r="F27" s="18" t="s">
        <v>925</v>
      </c>
      <c r="G27" s="41" t="s">
        <v>48</v>
      </c>
      <c r="H27" s="18" t="s">
        <v>980</v>
      </c>
      <c r="I27" s="18" t="s">
        <v>928</v>
      </c>
      <c r="J27" s="18" t="s">
        <v>981</v>
      </c>
    </row>
    <row r="28" ht="33.75" customHeight="true" spans="1:10">
      <c r="A28" s="18" t="s">
        <v>537</v>
      </c>
      <c r="B28" s="18" t="s">
        <v>974</v>
      </c>
      <c r="C28" s="18" t="s">
        <v>922</v>
      </c>
      <c r="D28" s="18" t="s">
        <v>933</v>
      </c>
      <c r="E28" s="18" t="s">
        <v>982</v>
      </c>
      <c r="F28" s="18" t="s">
        <v>938</v>
      </c>
      <c r="G28" s="41" t="s">
        <v>939</v>
      </c>
      <c r="H28" s="18" t="s">
        <v>927</v>
      </c>
      <c r="I28" s="18" t="s">
        <v>928</v>
      </c>
      <c r="J28" s="18" t="s">
        <v>983</v>
      </c>
    </row>
    <row r="29" ht="33.75" customHeight="true" spans="1:10">
      <c r="A29" s="18" t="s">
        <v>537</v>
      </c>
      <c r="B29" s="18" t="s">
        <v>974</v>
      </c>
      <c r="C29" s="18" t="s">
        <v>922</v>
      </c>
      <c r="D29" s="18" t="s">
        <v>936</v>
      </c>
      <c r="E29" s="18" t="s">
        <v>984</v>
      </c>
      <c r="F29" s="18" t="s">
        <v>985</v>
      </c>
      <c r="G29" s="41" t="s">
        <v>986</v>
      </c>
      <c r="H29" s="18" t="s">
        <v>987</v>
      </c>
      <c r="I29" s="18" t="s">
        <v>928</v>
      </c>
      <c r="J29" s="18" t="s">
        <v>988</v>
      </c>
    </row>
    <row r="30" ht="33.75" customHeight="true" spans="1:10">
      <c r="A30" s="18" t="s">
        <v>537</v>
      </c>
      <c r="B30" s="18" t="s">
        <v>974</v>
      </c>
      <c r="C30" s="18" t="s">
        <v>940</v>
      </c>
      <c r="D30" s="18" t="s">
        <v>941</v>
      </c>
      <c r="E30" s="18" t="s">
        <v>989</v>
      </c>
      <c r="F30" s="18" t="s">
        <v>925</v>
      </c>
      <c r="G30" s="41" t="s">
        <v>935</v>
      </c>
      <c r="H30" s="18" t="s">
        <v>926</v>
      </c>
      <c r="I30" s="18" t="s">
        <v>928</v>
      </c>
      <c r="J30" s="18" t="s">
        <v>990</v>
      </c>
    </row>
    <row r="31" ht="33.75" customHeight="true" spans="1:10">
      <c r="A31" s="18" t="s">
        <v>537</v>
      </c>
      <c r="B31" s="18" t="s">
        <v>974</v>
      </c>
      <c r="C31" s="18" t="s">
        <v>944</v>
      </c>
      <c r="D31" s="18" t="s">
        <v>945</v>
      </c>
      <c r="E31" s="18" t="s">
        <v>991</v>
      </c>
      <c r="F31" s="18" t="s">
        <v>925</v>
      </c>
      <c r="G31" s="41" t="s">
        <v>926</v>
      </c>
      <c r="H31" s="18" t="s">
        <v>927</v>
      </c>
      <c r="I31" s="18" t="s">
        <v>928</v>
      </c>
      <c r="J31" s="18" t="s">
        <v>992</v>
      </c>
    </row>
    <row r="32" ht="33.75" customHeight="true" spans="1:10">
      <c r="A32" s="18" t="s">
        <v>564</v>
      </c>
      <c r="B32" s="18" t="s">
        <v>993</v>
      </c>
      <c r="C32" s="18" t="s">
        <v>922</v>
      </c>
      <c r="D32" s="18" t="s">
        <v>923</v>
      </c>
      <c r="E32" s="18" t="s">
        <v>994</v>
      </c>
      <c r="F32" s="18" t="s">
        <v>925</v>
      </c>
      <c r="G32" s="41" t="s">
        <v>48</v>
      </c>
      <c r="H32" s="18" t="s">
        <v>995</v>
      </c>
      <c r="I32" s="18" t="s">
        <v>928</v>
      </c>
      <c r="J32" s="18" t="s">
        <v>996</v>
      </c>
    </row>
    <row r="33" ht="33.75" customHeight="true" spans="1:10">
      <c r="A33" s="18" t="s">
        <v>564</v>
      </c>
      <c r="B33" s="18" t="s">
        <v>993</v>
      </c>
      <c r="C33" s="18" t="s">
        <v>922</v>
      </c>
      <c r="D33" s="18" t="s">
        <v>923</v>
      </c>
      <c r="E33" s="18" t="s">
        <v>997</v>
      </c>
      <c r="F33" s="18" t="s">
        <v>938</v>
      </c>
      <c r="G33" s="41" t="s">
        <v>52</v>
      </c>
      <c r="H33" s="18" t="s">
        <v>998</v>
      </c>
      <c r="I33" s="18" t="s">
        <v>928</v>
      </c>
      <c r="J33" s="18" t="s">
        <v>999</v>
      </c>
    </row>
    <row r="34" ht="33.75" customHeight="true" spans="1:10">
      <c r="A34" s="18" t="s">
        <v>564</v>
      </c>
      <c r="B34" s="18" t="s">
        <v>993</v>
      </c>
      <c r="C34" s="18" t="s">
        <v>922</v>
      </c>
      <c r="D34" s="18" t="s">
        <v>923</v>
      </c>
      <c r="E34" s="18" t="s">
        <v>1000</v>
      </c>
      <c r="F34" s="18" t="s">
        <v>925</v>
      </c>
      <c r="G34" s="41" t="s">
        <v>1001</v>
      </c>
      <c r="H34" s="18" t="s">
        <v>932</v>
      </c>
      <c r="I34" s="18" t="s">
        <v>928</v>
      </c>
      <c r="J34" s="18" t="s">
        <v>1002</v>
      </c>
    </row>
    <row r="35" ht="33.75" customHeight="true" spans="1:10">
      <c r="A35" s="18" t="s">
        <v>564</v>
      </c>
      <c r="B35" s="18" t="s">
        <v>993</v>
      </c>
      <c r="C35" s="18" t="s">
        <v>922</v>
      </c>
      <c r="D35" s="18" t="s">
        <v>933</v>
      </c>
      <c r="E35" s="18" t="s">
        <v>1003</v>
      </c>
      <c r="F35" s="18" t="s">
        <v>925</v>
      </c>
      <c r="G35" s="41" t="s">
        <v>939</v>
      </c>
      <c r="H35" s="18" t="s">
        <v>927</v>
      </c>
      <c r="I35" s="18" t="s">
        <v>928</v>
      </c>
      <c r="J35" s="18" t="s">
        <v>1004</v>
      </c>
    </row>
    <row r="36" ht="33.75" customHeight="true" spans="1:10">
      <c r="A36" s="18" t="s">
        <v>564</v>
      </c>
      <c r="B36" s="18" t="s">
        <v>993</v>
      </c>
      <c r="C36" s="18" t="s">
        <v>922</v>
      </c>
      <c r="D36" s="18" t="s">
        <v>933</v>
      </c>
      <c r="E36" s="18" t="s">
        <v>1005</v>
      </c>
      <c r="F36" s="18" t="s">
        <v>925</v>
      </c>
      <c r="G36" s="41" t="s">
        <v>926</v>
      </c>
      <c r="H36" s="18" t="s">
        <v>927</v>
      </c>
      <c r="I36" s="18" t="s">
        <v>928</v>
      </c>
      <c r="J36" s="18" t="s">
        <v>1006</v>
      </c>
    </row>
    <row r="37" ht="33.75" customHeight="true" spans="1:10">
      <c r="A37" s="18" t="s">
        <v>564</v>
      </c>
      <c r="B37" s="18" t="s">
        <v>993</v>
      </c>
      <c r="C37" s="18" t="s">
        <v>922</v>
      </c>
      <c r="D37" s="18" t="s">
        <v>933</v>
      </c>
      <c r="E37" s="18" t="s">
        <v>1007</v>
      </c>
      <c r="F37" s="18" t="s">
        <v>925</v>
      </c>
      <c r="G37" s="41" t="s">
        <v>939</v>
      </c>
      <c r="H37" s="18" t="s">
        <v>927</v>
      </c>
      <c r="I37" s="18" t="s">
        <v>928</v>
      </c>
      <c r="J37" s="18" t="s">
        <v>1008</v>
      </c>
    </row>
    <row r="38" ht="33.75" customHeight="true" spans="1:10">
      <c r="A38" s="18" t="s">
        <v>564</v>
      </c>
      <c r="B38" s="18" t="s">
        <v>993</v>
      </c>
      <c r="C38" s="18" t="s">
        <v>922</v>
      </c>
      <c r="D38" s="18" t="s">
        <v>933</v>
      </c>
      <c r="E38" s="18" t="s">
        <v>1009</v>
      </c>
      <c r="F38" s="18" t="s">
        <v>925</v>
      </c>
      <c r="G38" s="41" t="s">
        <v>1010</v>
      </c>
      <c r="H38" s="18" t="s">
        <v>1011</v>
      </c>
      <c r="I38" s="18" t="s">
        <v>928</v>
      </c>
      <c r="J38" s="18" t="s">
        <v>1012</v>
      </c>
    </row>
    <row r="39" ht="33.75" customHeight="true" spans="1:10">
      <c r="A39" s="18" t="s">
        <v>564</v>
      </c>
      <c r="B39" s="18" t="s">
        <v>993</v>
      </c>
      <c r="C39" s="18" t="s">
        <v>922</v>
      </c>
      <c r="D39" s="18" t="s">
        <v>933</v>
      </c>
      <c r="E39" s="18" t="s">
        <v>1013</v>
      </c>
      <c r="F39" s="18" t="s">
        <v>925</v>
      </c>
      <c r="G39" s="41" t="s">
        <v>1014</v>
      </c>
      <c r="H39" s="18" t="s">
        <v>1011</v>
      </c>
      <c r="I39" s="18" t="s">
        <v>928</v>
      </c>
      <c r="J39" s="18" t="s">
        <v>1015</v>
      </c>
    </row>
    <row r="40" ht="33.75" customHeight="true" spans="1:10">
      <c r="A40" s="18" t="s">
        <v>564</v>
      </c>
      <c r="B40" s="18" t="s">
        <v>993</v>
      </c>
      <c r="C40" s="18" t="s">
        <v>940</v>
      </c>
      <c r="D40" s="18" t="s">
        <v>941</v>
      </c>
      <c r="E40" s="18" t="s">
        <v>1016</v>
      </c>
      <c r="F40" s="18" t="s">
        <v>925</v>
      </c>
      <c r="G40" s="41" t="s">
        <v>1017</v>
      </c>
      <c r="H40" s="18" t="s">
        <v>927</v>
      </c>
      <c r="I40" s="18" t="s">
        <v>956</v>
      </c>
      <c r="J40" s="18" t="s">
        <v>1018</v>
      </c>
    </row>
    <row r="41" ht="33.75" customHeight="true" spans="1:10">
      <c r="A41" s="18" t="s">
        <v>564</v>
      </c>
      <c r="B41" s="18" t="s">
        <v>993</v>
      </c>
      <c r="C41" s="18" t="s">
        <v>940</v>
      </c>
      <c r="D41" s="18" t="s">
        <v>941</v>
      </c>
      <c r="E41" s="18" t="s">
        <v>1019</v>
      </c>
      <c r="F41" s="18" t="s">
        <v>925</v>
      </c>
      <c r="G41" s="41" t="s">
        <v>1020</v>
      </c>
      <c r="H41" s="18"/>
      <c r="I41" s="18" t="s">
        <v>956</v>
      </c>
      <c r="J41" s="18" t="s">
        <v>1021</v>
      </c>
    </row>
    <row r="42" ht="33.75" customHeight="true" spans="1:10">
      <c r="A42" s="18" t="s">
        <v>564</v>
      </c>
      <c r="B42" s="18" t="s">
        <v>993</v>
      </c>
      <c r="C42" s="18" t="s">
        <v>944</v>
      </c>
      <c r="D42" s="18" t="s">
        <v>945</v>
      </c>
      <c r="E42" s="18" t="s">
        <v>1022</v>
      </c>
      <c r="F42" s="18" t="s">
        <v>925</v>
      </c>
      <c r="G42" s="41" t="s">
        <v>943</v>
      </c>
      <c r="H42" s="18" t="s">
        <v>927</v>
      </c>
      <c r="I42" s="18" t="s">
        <v>928</v>
      </c>
      <c r="J42" s="18" t="s">
        <v>1023</v>
      </c>
    </row>
    <row r="43" ht="33.75" customHeight="true" spans="1:10">
      <c r="A43" s="18" t="s">
        <v>558</v>
      </c>
      <c r="B43" s="18" t="s">
        <v>1024</v>
      </c>
      <c r="C43" s="18" t="s">
        <v>922</v>
      </c>
      <c r="D43" s="18" t="s">
        <v>923</v>
      </c>
      <c r="E43" s="18" t="s">
        <v>1025</v>
      </c>
      <c r="F43" s="18" t="s">
        <v>938</v>
      </c>
      <c r="G43" s="41" t="s">
        <v>1026</v>
      </c>
      <c r="H43" s="18" t="s">
        <v>952</v>
      </c>
      <c r="I43" s="18" t="s">
        <v>928</v>
      </c>
      <c r="J43" s="18" t="s">
        <v>1027</v>
      </c>
    </row>
    <row r="44" ht="33.75" customHeight="true" spans="1:10">
      <c r="A44" s="18" t="s">
        <v>558</v>
      </c>
      <c r="B44" s="18" t="s">
        <v>1024</v>
      </c>
      <c r="C44" s="18" t="s">
        <v>922</v>
      </c>
      <c r="D44" s="18" t="s">
        <v>923</v>
      </c>
      <c r="E44" s="18" t="s">
        <v>1028</v>
      </c>
      <c r="F44" s="18" t="s">
        <v>938</v>
      </c>
      <c r="G44" s="41" t="s">
        <v>1029</v>
      </c>
      <c r="H44" s="18" t="s">
        <v>1030</v>
      </c>
      <c r="I44" s="18" t="s">
        <v>956</v>
      </c>
      <c r="J44" s="18" t="s">
        <v>1031</v>
      </c>
    </row>
    <row r="45" ht="33.75" customHeight="true" spans="1:10">
      <c r="A45" s="18" t="s">
        <v>558</v>
      </c>
      <c r="B45" s="18" t="s">
        <v>1024</v>
      </c>
      <c r="C45" s="18" t="s">
        <v>922</v>
      </c>
      <c r="D45" s="18" t="s">
        <v>933</v>
      </c>
      <c r="E45" s="18" t="s">
        <v>1032</v>
      </c>
      <c r="F45" s="18" t="s">
        <v>925</v>
      </c>
      <c r="G45" s="41" t="s">
        <v>935</v>
      </c>
      <c r="H45" s="18" t="s">
        <v>927</v>
      </c>
      <c r="I45" s="18" t="s">
        <v>928</v>
      </c>
      <c r="J45" s="18" t="s">
        <v>1033</v>
      </c>
    </row>
    <row r="46" ht="33.75" customHeight="true" spans="1:10">
      <c r="A46" s="18" t="s">
        <v>558</v>
      </c>
      <c r="B46" s="18" t="s">
        <v>1024</v>
      </c>
      <c r="C46" s="18" t="s">
        <v>922</v>
      </c>
      <c r="D46" s="18" t="s">
        <v>936</v>
      </c>
      <c r="E46" s="18" t="s">
        <v>1034</v>
      </c>
      <c r="F46" s="18" t="s">
        <v>985</v>
      </c>
      <c r="G46" s="41" t="s">
        <v>1035</v>
      </c>
      <c r="H46" s="18" t="s">
        <v>1036</v>
      </c>
      <c r="I46" s="18" t="s">
        <v>928</v>
      </c>
      <c r="J46" s="18" t="s">
        <v>1037</v>
      </c>
    </row>
    <row r="47" ht="33.75" customHeight="true" spans="1:10">
      <c r="A47" s="18" t="s">
        <v>558</v>
      </c>
      <c r="B47" s="18" t="s">
        <v>1024</v>
      </c>
      <c r="C47" s="18" t="s">
        <v>940</v>
      </c>
      <c r="D47" s="18" t="s">
        <v>953</v>
      </c>
      <c r="E47" s="18" t="s">
        <v>1038</v>
      </c>
      <c r="F47" s="18" t="s">
        <v>938</v>
      </c>
      <c r="G47" s="41" t="s">
        <v>939</v>
      </c>
      <c r="H47" s="18" t="s">
        <v>927</v>
      </c>
      <c r="I47" s="18" t="s">
        <v>928</v>
      </c>
      <c r="J47" s="18" t="s">
        <v>1039</v>
      </c>
    </row>
    <row r="48" ht="33.75" customHeight="true" spans="1:10">
      <c r="A48" s="18" t="s">
        <v>558</v>
      </c>
      <c r="B48" s="18" t="s">
        <v>1024</v>
      </c>
      <c r="C48" s="18" t="s">
        <v>940</v>
      </c>
      <c r="D48" s="18" t="s">
        <v>941</v>
      </c>
      <c r="E48" s="18" t="s">
        <v>1040</v>
      </c>
      <c r="F48" s="18" t="s">
        <v>938</v>
      </c>
      <c r="G48" s="41" t="s">
        <v>939</v>
      </c>
      <c r="H48" s="18" t="s">
        <v>927</v>
      </c>
      <c r="I48" s="18" t="s">
        <v>928</v>
      </c>
      <c r="J48" s="18" t="s">
        <v>1041</v>
      </c>
    </row>
    <row r="49" ht="33.75" customHeight="true" spans="1:10">
      <c r="A49" s="18" t="s">
        <v>558</v>
      </c>
      <c r="B49" s="18" t="s">
        <v>1024</v>
      </c>
      <c r="C49" s="18" t="s">
        <v>944</v>
      </c>
      <c r="D49" s="18" t="s">
        <v>945</v>
      </c>
      <c r="E49" s="18" t="s">
        <v>1042</v>
      </c>
      <c r="F49" s="18" t="s">
        <v>925</v>
      </c>
      <c r="G49" s="41" t="s">
        <v>963</v>
      </c>
      <c r="H49" s="18" t="s">
        <v>927</v>
      </c>
      <c r="I49" s="18" t="s">
        <v>928</v>
      </c>
      <c r="J49" s="18" t="s">
        <v>1043</v>
      </c>
    </row>
    <row r="50" ht="33.75" customHeight="true" spans="1:10">
      <c r="A50" s="18" t="s">
        <v>612</v>
      </c>
      <c r="B50" s="18" t="s">
        <v>1044</v>
      </c>
      <c r="C50" s="18" t="s">
        <v>922</v>
      </c>
      <c r="D50" s="18" t="s">
        <v>923</v>
      </c>
      <c r="E50" s="18" t="s">
        <v>1045</v>
      </c>
      <c r="F50" s="18" t="s">
        <v>925</v>
      </c>
      <c r="G50" s="41" t="s">
        <v>1046</v>
      </c>
      <c r="H50" s="18" t="s">
        <v>952</v>
      </c>
      <c r="I50" s="18" t="s">
        <v>928</v>
      </c>
      <c r="J50" s="18" t="s">
        <v>1047</v>
      </c>
    </row>
    <row r="51" ht="33.75" customHeight="true" spans="1:10">
      <c r="A51" s="18" t="s">
        <v>612</v>
      </c>
      <c r="B51" s="18" t="s">
        <v>1044</v>
      </c>
      <c r="C51" s="18" t="s">
        <v>922</v>
      </c>
      <c r="D51" s="18" t="s">
        <v>933</v>
      </c>
      <c r="E51" s="18" t="s">
        <v>1048</v>
      </c>
      <c r="F51" s="18" t="s">
        <v>925</v>
      </c>
      <c r="G51" s="41" t="s">
        <v>1049</v>
      </c>
      <c r="H51" s="18" t="s">
        <v>927</v>
      </c>
      <c r="I51" s="18" t="s">
        <v>956</v>
      </c>
      <c r="J51" s="18" t="s">
        <v>1050</v>
      </c>
    </row>
    <row r="52" ht="33.75" customHeight="true" spans="1:10">
      <c r="A52" s="18" t="s">
        <v>612</v>
      </c>
      <c r="B52" s="18" t="s">
        <v>1044</v>
      </c>
      <c r="C52" s="18" t="s">
        <v>940</v>
      </c>
      <c r="D52" s="18" t="s">
        <v>941</v>
      </c>
      <c r="E52" s="18" t="s">
        <v>1051</v>
      </c>
      <c r="F52" s="18" t="s">
        <v>925</v>
      </c>
      <c r="G52" s="41" t="s">
        <v>943</v>
      </c>
      <c r="H52" s="18" t="s">
        <v>927</v>
      </c>
      <c r="I52" s="18" t="s">
        <v>928</v>
      </c>
      <c r="J52" s="18" t="s">
        <v>1052</v>
      </c>
    </row>
    <row r="53" ht="33.75" customHeight="true" spans="1:10">
      <c r="A53" s="18" t="s">
        <v>612</v>
      </c>
      <c r="B53" s="18" t="s">
        <v>1044</v>
      </c>
      <c r="C53" s="18" t="s">
        <v>944</v>
      </c>
      <c r="D53" s="18" t="s">
        <v>945</v>
      </c>
      <c r="E53" s="18" t="s">
        <v>1053</v>
      </c>
      <c r="F53" s="18" t="s">
        <v>925</v>
      </c>
      <c r="G53" s="41" t="s">
        <v>1049</v>
      </c>
      <c r="H53" s="18" t="s">
        <v>927</v>
      </c>
      <c r="I53" s="18" t="s">
        <v>956</v>
      </c>
      <c r="J53" s="18" t="s">
        <v>1054</v>
      </c>
    </row>
    <row r="54" ht="33.75" customHeight="true" spans="1:10">
      <c r="A54" s="18" t="s">
        <v>612</v>
      </c>
      <c r="B54" s="18" t="s">
        <v>1044</v>
      </c>
      <c r="C54" s="18" t="s">
        <v>944</v>
      </c>
      <c r="D54" s="18" t="s">
        <v>945</v>
      </c>
      <c r="E54" s="18" t="s">
        <v>1055</v>
      </c>
      <c r="F54" s="18" t="s">
        <v>925</v>
      </c>
      <c r="G54" s="41" t="s">
        <v>1049</v>
      </c>
      <c r="H54" s="18" t="s">
        <v>927</v>
      </c>
      <c r="I54" s="18" t="s">
        <v>956</v>
      </c>
      <c r="J54" s="18" t="s">
        <v>1050</v>
      </c>
    </row>
    <row r="55" ht="33.75" customHeight="true" spans="1:10">
      <c r="A55" s="18" t="s">
        <v>619</v>
      </c>
      <c r="B55" s="18" t="s">
        <v>1056</v>
      </c>
      <c r="C55" s="18" t="s">
        <v>922</v>
      </c>
      <c r="D55" s="18" t="s">
        <v>923</v>
      </c>
      <c r="E55" s="18" t="s">
        <v>994</v>
      </c>
      <c r="F55" s="18" t="s">
        <v>925</v>
      </c>
      <c r="G55" s="41" t="s">
        <v>51</v>
      </c>
      <c r="H55" s="18" t="s">
        <v>927</v>
      </c>
      <c r="I55" s="18" t="s">
        <v>928</v>
      </c>
      <c r="J55" s="18" t="s">
        <v>929</v>
      </c>
    </row>
    <row r="56" ht="33.75" customHeight="true" spans="1:10">
      <c r="A56" s="18" t="s">
        <v>619</v>
      </c>
      <c r="B56" s="18" t="s">
        <v>1056</v>
      </c>
      <c r="C56" s="18" t="s">
        <v>922</v>
      </c>
      <c r="D56" s="18" t="s">
        <v>923</v>
      </c>
      <c r="E56" s="18" t="s">
        <v>1057</v>
      </c>
      <c r="F56" s="18" t="s">
        <v>938</v>
      </c>
      <c r="G56" s="41" t="s">
        <v>1058</v>
      </c>
      <c r="H56" s="18" t="s">
        <v>1059</v>
      </c>
      <c r="I56" s="18" t="s">
        <v>928</v>
      </c>
      <c r="J56" s="18" t="s">
        <v>929</v>
      </c>
    </row>
    <row r="57" ht="33.75" customHeight="true" spans="1:10">
      <c r="A57" s="18" t="s">
        <v>619</v>
      </c>
      <c r="B57" s="18" t="s">
        <v>1056</v>
      </c>
      <c r="C57" s="18" t="s">
        <v>922</v>
      </c>
      <c r="D57" s="18" t="s">
        <v>923</v>
      </c>
      <c r="E57" s="18" t="s">
        <v>1060</v>
      </c>
      <c r="F57" s="18" t="s">
        <v>938</v>
      </c>
      <c r="G57" s="41" t="s">
        <v>1061</v>
      </c>
      <c r="H57" s="18" t="s">
        <v>1059</v>
      </c>
      <c r="I57" s="18" t="s">
        <v>928</v>
      </c>
      <c r="J57" s="18" t="s">
        <v>929</v>
      </c>
    </row>
    <row r="58" ht="33.75" customHeight="true" spans="1:10">
      <c r="A58" s="18" t="s">
        <v>619</v>
      </c>
      <c r="B58" s="18" t="s">
        <v>1056</v>
      </c>
      <c r="C58" s="18" t="s">
        <v>922</v>
      </c>
      <c r="D58" s="18" t="s">
        <v>923</v>
      </c>
      <c r="E58" s="18" t="s">
        <v>1062</v>
      </c>
      <c r="F58" s="18" t="s">
        <v>938</v>
      </c>
      <c r="G58" s="41" t="s">
        <v>1014</v>
      </c>
      <c r="H58" s="18" t="s">
        <v>1011</v>
      </c>
      <c r="I58" s="18" t="s">
        <v>928</v>
      </c>
      <c r="J58" s="18" t="s">
        <v>929</v>
      </c>
    </row>
    <row r="59" ht="33.75" customHeight="true" spans="1:10">
      <c r="A59" s="18" t="s">
        <v>619</v>
      </c>
      <c r="B59" s="18" t="s">
        <v>1056</v>
      </c>
      <c r="C59" s="18" t="s">
        <v>922</v>
      </c>
      <c r="D59" s="18" t="s">
        <v>933</v>
      </c>
      <c r="E59" s="18" t="s">
        <v>1005</v>
      </c>
      <c r="F59" s="18" t="s">
        <v>925</v>
      </c>
      <c r="G59" s="41" t="s">
        <v>926</v>
      </c>
      <c r="H59" s="18" t="s">
        <v>927</v>
      </c>
      <c r="I59" s="18" t="s">
        <v>928</v>
      </c>
      <c r="J59" s="18" t="s">
        <v>929</v>
      </c>
    </row>
    <row r="60" ht="33.75" customHeight="true" spans="1:10">
      <c r="A60" s="18" t="s">
        <v>619</v>
      </c>
      <c r="B60" s="18" t="s">
        <v>1056</v>
      </c>
      <c r="C60" s="18" t="s">
        <v>922</v>
      </c>
      <c r="D60" s="18" t="s">
        <v>933</v>
      </c>
      <c r="E60" s="18" t="s">
        <v>1063</v>
      </c>
      <c r="F60" s="18" t="s">
        <v>925</v>
      </c>
      <c r="G60" s="41" t="s">
        <v>939</v>
      </c>
      <c r="H60" s="18" t="s">
        <v>927</v>
      </c>
      <c r="I60" s="18" t="s">
        <v>928</v>
      </c>
      <c r="J60" s="18" t="s">
        <v>929</v>
      </c>
    </row>
    <row r="61" ht="33.75" customHeight="true" spans="1:10">
      <c r="A61" s="18" t="s">
        <v>619</v>
      </c>
      <c r="B61" s="18" t="s">
        <v>1056</v>
      </c>
      <c r="C61" s="18" t="s">
        <v>922</v>
      </c>
      <c r="D61" s="18" t="s">
        <v>936</v>
      </c>
      <c r="E61" s="18" t="s">
        <v>1064</v>
      </c>
      <c r="F61" s="18" t="s">
        <v>938</v>
      </c>
      <c r="G61" s="41" t="s">
        <v>939</v>
      </c>
      <c r="H61" s="18" t="s">
        <v>927</v>
      </c>
      <c r="I61" s="18" t="s">
        <v>928</v>
      </c>
      <c r="J61" s="18" t="s">
        <v>929</v>
      </c>
    </row>
    <row r="62" ht="33.75" customHeight="true" spans="1:10">
      <c r="A62" s="18" t="s">
        <v>619</v>
      </c>
      <c r="B62" s="18" t="s">
        <v>1056</v>
      </c>
      <c r="C62" s="18" t="s">
        <v>940</v>
      </c>
      <c r="D62" s="18" t="s">
        <v>941</v>
      </c>
      <c r="E62" s="18" t="s">
        <v>1019</v>
      </c>
      <c r="F62" s="18" t="s">
        <v>938</v>
      </c>
      <c r="G62" s="41" t="s">
        <v>1020</v>
      </c>
      <c r="H62" s="18"/>
      <c r="I62" s="18" t="s">
        <v>956</v>
      </c>
      <c r="J62" s="18" t="s">
        <v>929</v>
      </c>
    </row>
    <row r="63" ht="33.75" customHeight="true" spans="1:10">
      <c r="A63" s="18" t="s">
        <v>619</v>
      </c>
      <c r="B63" s="18" t="s">
        <v>1056</v>
      </c>
      <c r="C63" s="18" t="s">
        <v>940</v>
      </c>
      <c r="D63" s="18" t="s">
        <v>941</v>
      </c>
      <c r="E63" s="18" t="s">
        <v>1065</v>
      </c>
      <c r="F63" s="18" t="s">
        <v>938</v>
      </c>
      <c r="G63" s="41" t="s">
        <v>1066</v>
      </c>
      <c r="H63" s="18"/>
      <c r="I63" s="18" t="s">
        <v>956</v>
      </c>
      <c r="J63" s="18" t="s">
        <v>929</v>
      </c>
    </row>
    <row r="64" ht="33.75" customHeight="true" spans="1:10">
      <c r="A64" s="18" t="s">
        <v>619</v>
      </c>
      <c r="B64" s="18" t="s">
        <v>1056</v>
      </c>
      <c r="C64" s="18" t="s">
        <v>940</v>
      </c>
      <c r="D64" s="18" t="s">
        <v>941</v>
      </c>
      <c r="E64" s="18" t="s">
        <v>1067</v>
      </c>
      <c r="F64" s="18" t="s">
        <v>938</v>
      </c>
      <c r="G64" s="41" t="s">
        <v>1017</v>
      </c>
      <c r="H64" s="18"/>
      <c r="I64" s="18" t="s">
        <v>956</v>
      </c>
      <c r="J64" s="18" t="s">
        <v>929</v>
      </c>
    </row>
    <row r="65" ht="33.75" customHeight="true" spans="1:10">
      <c r="A65" s="18" t="s">
        <v>619</v>
      </c>
      <c r="B65" s="18" t="s">
        <v>1056</v>
      </c>
      <c r="C65" s="18" t="s">
        <v>944</v>
      </c>
      <c r="D65" s="18" t="s">
        <v>945</v>
      </c>
      <c r="E65" s="18" t="s">
        <v>1068</v>
      </c>
      <c r="F65" s="18" t="s">
        <v>925</v>
      </c>
      <c r="G65" s="41" t="s">
        <v>935</v>
      </c>
      <c r="H65" s="18" t="s">
        <v>927</v>
      </c>
      <c r="I65" s="18" t="s">
        <v>928</v>
      </c>
      <c r="J65" s="18" t="s">
        <v>929</v>
      </c>
    </row>
    <row r="66" ht="33.75" customHeight="true" spans="1:10">
      <c r="A66" s="18" t="s">
        <v>577</v>
      </c>
      <c r="B66" s="18" t="s">
        <v>1069</v>
      </c>
      <c r="C66" s="18" t="s">
        <v>922</v>
      </c>
      <c r="D66" s="18" t="s">
        <v>923</v>
      </c>
      <c r="E66" s="18" t="s">
        <v>1070</v>
      </c>
      <c r="F66" s="18" t="s">
        <v>925</v>
      </c>
      <c r="G66" s="41" t="s">
        <v>935</v>
      </c>
      <c r="H66" s="18" t="s">
        <v>927</v>
      </c>
      <c r="I66" s="18" t="s">
        <v>928</v>
      </c>
      <c r="J66" s="18" t="s">
        <v>929</v>
      </c>
    </row>
    <row r="67" ht="33.75" customHeight="true" spans="1:10">
      <c r="A67" s="18" t="s">
        <v>577</v>
      </c>
      <c r="B67" s="18" t="s">
        <v>1069</v>
      </c>
      <c r="C67" s="18" t="s">
        <v>922</v>
      </c>
      <c r="D67" s="18" t="s">
        <v>923</v>
      </c>
      <c r="E67" s="18" t="s">
        <v>1071</v>
      </c>
      <c r="F67" s="18" t="s">
        <v>925</v>
      </c>
      <c r="G67" s="41" t="s">
        <v>943</v>
      </c>
      <c r="H67" s="18" t="s">
        <v>927</v>
      </c>
      <c r="I67" s="18" t="s">
        <v>928</v>
      </c>
      <c r="J67" s="18" t="s">
        <v>929</v>
      </c>
    </row>
    <row r="68" ht="33.75" customHeight="true" spans="1:10">
      <c r="A68" s="18" t="s">
        <v>577</v>
      </c>
      <c r="B68" s="18" t="s">
        <v>1069</v>
      </c>
      <c r="C68" s="18" t="s">
        <v>922</v>
      </c>
      <c r="D68" s="18" t="s">
        <v>923</v>
      </c>
      <c r="E68" s="18" t="s">
        <v>1072</v>
      </c>
      <c r="F68" s="18" t="s">
        <v>925</v>
      </c>
      <c r="G68" s="41" t="s">
        <v>935</v>
      </c>
      <c r="H68" s="18" t="s">
        <v>927</v>
      </c>
      <c r="I68" s="18" t="s">
        <v>928</v>
      </c>
      <c r="J68" s="18" t="s">
        <v>929</v>
      </c>
    </row>
    <row r="69" ht="33.75" customHeight="true" spans="1:10">
      <c r="A69" s="18" t="s">
        <v>577</v>
      </c>
      <c r="B69" s="18" t="s">
        <v>1069</v>
      </c>
      <c r="C69" s="18" t="s">
        <v>922</v>
      </c>
      <c r="D69" s="18" t="s">
        <v>923</v>
      </c>
      <c r="E69" s="18" t="s">
        <v>1073</v>
      </c>
      <c r="F69" s="18" t="s">
        <v>925</v>
      </c>
      <c r="G69" s="41" t="s">
        <v>935</v>
      </c>
      <c r="H69" s="18" t="s">
        <v>927</v>
      </c>
      <c r="I69" s="18" t="s">
        <v>928</v>
      </c>
      <c r="J69" s="18" t="s">
        <v>929</v>
      </c>
    </row>
    <row r="70" ht="33.75" customHeight="true" spans="1:10">
      <c r="A70" s="18" t="s">
        <v>577</v>
      </c>
      <c r="B70" s="18" t="s">
        <v>1069</v>
      </c>
      <c r="C70" s="18" t="s">
        <v>922</v>
      </c>
      <c r="D70" s="18" t="s">
        <v>923</v>
      </c>
      <c r="E70" s="18" t="s">
        <v>1074</v>
      </c>
      <c r="F70" s="18" t="s">
        <v>925</v>
      </c>
      <c r="G70" s="41" t="s">
        <v>963</v>
      </c>
      <c r="H70" s="18" t="s">
        <v>927</v>
      </c>
      <c r="I70" s="18" t="s">
        <v>928</v>
      </c>
      <c r="J70" s="18" t="s">
        <v>929</v>
      </c>
    </row>
    <row r="71" ht="33.75" customHeight="true" spans="1:10">
      <c r="A71" s="18" t="s">
        <v>577</v>
      </c>
      <c r="B71" s="18" t="s">
        <v>1069</v>
      </c>
      <c r="C71" s="18" t="s">
        <v>922</v>
      </c>
      <c r="D71" s="18" t="s">
        <v>923</v>
      </c>
      <c r="E71" s="18" t="s">
        <v>1075</v>
      </c>
      <c r="F71" s="18" t="s">
        <v>925</v>
      </c>
      <c r="G71" s="41" t="s">
        <v>1076</v>
      </c>
      <c r="H71" s="18" t="s">
        <v>927</v>
      </c>
      <c r="I71" s="18" t="s">
        <v>928</v>
      </c>
      <c r="J71" s="18" t="s">
        <v>929</v>
      </c>
    </row>
    <row r="72" ht="33.75" customHeight="true" spans="1:10">
      <c r="A72" s="18" t="s">
        <v>577</v>
      </c>
      <c r="B72" s="18" t="s">
        <v>1069</v>
      </c>
      <c r="C72" s="18" t="s">
        <v>922</v>
      </c>
      <c r="D72" s="18" t="s">
        <v>923</v>
      </c>
      <c r="E72" s="18" t="s">
        <v>1077</v>
      </c>
      <c r="F72" s="18" t="s">
        <v>925</v>
      </c>
      <c r="G72" s="41" t="s">
        <v>935</v>
      </c>
      <c r="H72" s="18" t="s">
        <v>927</v>
      </c>
      <c r="I72" s="18" t="s">
        <v>928</v>
      </c>
      <c r="J72" s="18" t="s">
        <v>929</v>
      </c>
    </row>
    <row r="73" ht="33.75" customHeight="true" spans="1:10">
      <c r="A73" s="18" t="s">
        <v>577</v>
      </c>
      <c r="B73" s="18" t="s">
        <v>1069</v>
      </c>
      <c r="C73" s="18" t="s">
        <v>922</v>
      </c>
      <c r="D73" s="18" t="s">
        <v>923</v>
      </c>
      <c r="E73" s="18" t="s">
        <v>1078</v>
      </c>
      <c r="F73" s="18" t="s">
        <v>925</v>
      </c>
      <c r="G73" s="41" t="s">
        <v>963</v>
      </c>
      <c r="H73" s="18" t="s">
        <v>927</v>
      </c>
      <c r="I73" s="18" t="s">
        <v>928</v>
      </c>
      <c r="J73" s="18" t="s">
        <v>929</v>
      </c>
    </row>
    <row r="74" ht="33.75" customHeight="true" spans="1:10">
      <c r="A74" s="18" t="s">
        <v>577</v>
      </c>
      <c r="B74" s="18" t="s">
        <v>1069</v>
      </c>
      <c r="C74" s="18" t="s">
        <v>922</v>
      </c>
      <c r="D74" s="18" t="s">
        <v>923</v>
      </c>
      <c r="E74" s="18" t="s">
        <v>1079</v>
      </c>
      <c r="F74" s="18" t="s">
        <v>925</v>
      </c>
      <c r="G74" s="41" t="s">
        <v>935</v>
      </c>
      <c r="H74" s="18" t="s">
        <v>927</v>
      </c>
      <c r="I74" s="18" t="s">
        <v>928</v>
      </c>
      <c r="J74" s="18" t="s">
        <v>929</v>
      </c>
    </row>
    <row r="75" ht="33.75" customHeight="true" spans="1:10">
      <c r="A75" s="18" t="s">
        <v>577</v>
      </c>
      <c r="B75" s="18" t="s">
        <v>1069</v>
      </c>
      <c r="C75" s="18" t="s">
        <v>922</v>
      </c>
      <c r="D75" s="18" t="s">
        <v>923</v>
      </c>
      <c r="E75" s="18" t="s">
        <v>1080</v>
      </c>
      <c r="F75" s="18" t="s">
        <v>925</v>
      </c>
      <c r="G75" s="41" t="s">
        <v>1076</v>
      </c>
      <c r="H75" s="18" t="s">
        <v>927</v>
      </c>
      <c r="I75" s="18" t="s">
        <v>928</v>
      </c>
      <c r="J75" s="18" t="s">
        <v>929</v>
      </c>
    </row>
    <row r="76" ht="33.75" customHeight="true" spans="1:10">
      <c r="A76" s="18" t="s">
        <v>577</v>
      </c>
      <c r="B76" s="18" t="s">
        <v>1069</v>
      </c>
      <c r="C76" s="18" t="s">
        <v>922</v>
      </c>
      <c r="D76" s="18" t="s">
        <v>923</v>
      </c>
      <c r="E76" s="18" t="s">
        <v>1081</v>
      </c>
      <c r="F76" s="18" t="s">
        <v>925</v>
      </c>
      <c r="G76" s="41" t="s">
        <v>935</v>
      </c>
      <c r="H76" s="18" t="s">
        <v>927</v>
      </c>
      <c r="I76" s="18" t="s">
        <v>928</v>
      </c>
      <c r="J76" s="18" t="s">
        <v>929</v>
      </c>
    </row>
    <row r="77" ht="33.75" customHeight="true" spans="1:10">
      <c r="A77" s="18" t="s">
        <v>577</v>
      </c>
      <c r="B77" s="18" t="s">
        <v>1069</v>
      </c>
      <c r="C77" s="18" t="s">
        <v>922</v>
      </c>
      <c r="D77" s="18" t="s">
        <v>933</v>
      </c>
      <c r="E77" s="18" t="s">
        <v>1082</v>
      </c>
      <c r="F77" s="18" t="s">
        <v>925</v>
      </c>
      <c r="G77" s="41" t="s">
        <v>976</v>
      </c>
      <c r="H77" s="18" t="s">
        <v>927</v>
      </c>
      <c r="I77" s="18" t="s">
        <v>928</v>
      </c>
      <c r="J77" s="18" t="s">
        <v>929</v>
      </c>
    </row>
    <row r="78" ht="33.75" customHeight="true" spans="1:10">
      <c r="A78" s="18" t="s">
        <v>577</v>
      </c>
      <c r="B78" s="18" t="s">
        <v>1069</v>
      </c>
      <c r="C78" s="18" t="s">
        <v>922</v>
      </c>
      <c r="D78" s="18" t="s">
        <v>933</v>
      </c>
      <c r="E78" s="18" t="s">
        <v>1083</v>
      </c>
      <c r="F78" s="18" t="s">
        <v>925</v>
      </c>
      <c r="G78" s="41" t="s">
        <v>976</v>
      </c>
      <c r="H78" s="18" t="s">
        <v>927</v>
      </c>
      <c r="I78" s="18" t="s">
        <v>928</v>
      </c>
      <c r="J78" s="18" t="s">
        <v>929</v>
      </c>
    </row>
    <row r="79" ht="33.75" customHeight="true" spans="1:10">
      <c r="A79" s="18" t="s">
        <v>577</v>
      </c>
      <c r="B79" s="18" t="s">
        <v>1069</v>
      </c>
      <c r="C79" s="18" t="s">
        <v>922</v>
      </c>
      <c r="D79" s="18" t="s">
        <v>933</v>
      </c>
      <c r="E79" s="18" t="s">
        <v>1084</v>
      </c>
      <c r="F79" s="18" t="s">
        <v>925</v>
      </c>
      <c r="G79" s="41" t="s">
        <v>976</v>
      </c>
      <c r="H79" s="18" t="s">
        <v>927</v>
      </c>
      <c r="I79" s="18" t="s">
        <v>928</v>
      </c>
      <c r="J79" s="18" t="s">
        <v>929</v>
      </c>
    </row>
    <row r="80" ht="33.75" customHeight="true" spans="1:10">
      <c r="A80" s="18" t="s">
        <v>577</v>
      </c>
      <c r="B80" s="18" t="s">
        <v>1069</v>
      </c>
      <c r="C80" s="18" t="s">
        <v>922</v>
      </c>
      <c r="D80" s="18" t="s">
        <v>933</v>
      </c>
      <c r="E80" s="18" t="s">
        <v>1085</v>
      </c>
      <c r="F80" s="18" t="s">
        <v>925</v>
      </c>
      <c r="G80" s="41" t="s">
        <v>976</v>
      </c>
      <c r="H80" s="18" t="s">
        <v>927</v>
      </c>
      <c r="I80" s="18" t="s">
        <v>928</v>
      </c>
      <c r="J80" s="18" t="s">
        <v>929</v>
      </c>
    </row>
    <row r="81" ht="33.75" customHeight="true" spans="1:10">
      <c r="A81" s="18" t="s">
        <v>577</v>
      </c>
      <c r="B81" s="18" t="s">
        <v>1069</v>
      </c>
      <c r="C81" s="18" t="s">
        <v>922</v>
      </c>
      <c r="D81" s="18" t="s">
        <v>933</v>
      </c>
      <c r="E81" s="18" t="s">
        <v>1086</v>
      </c>
      <c r="F81" s="18" t="s">
        <v>925</v>
      </c>
      <c r="G81" s="41" t="s">
        <v>935</v>
      </c>
      <c r="H81" s="18" t="s">
        <v>927</v>
      </c>
      <c r="I81" s="18" t="s">
        <v>928</v>
      </c>
      <c r="J81" s="18" t="s">
        <v>929</v>
      </c>
    </row>
    <row r="82" ht="33.75" customHeight="true" spans="1:10">
      <c r="A82" s="18" t="s">
        <v>577</v>
      </c>
      <c r="B82" s="18" t="s">
        <v>1069</v>
      </c>
      <c r="C82" s="18" t="s">
        <v>922</v>
      </c>
      <c r="D82" s="18" t="s">
        <v>933</v>
      </c>
      <c r="E82" s="18" t="s">
        <v>1087</v>
      </c>
      <c r="F82" s="18" t="s">
        <v>925</v>
      </c>
      <c r="G82" s="41" t="s">
        <v>926</v>
      </c>
      <c r="H82" s="18" t="s">
        <v>927</v>
      </c>
      <c r="I82" s="18" t="s">
        <v>928</v>
      </c>
      <c r="J82" s="18" t="s">
        <v>929</v>
      </c>
    </row>
    <row r="83" ht="33.75" customHeight="true" spans="1:10">
      <c r="A83" s="18" t="s">
        <v>577</v>
      </c>
      <c r="B83" s="18" t="s">
        <v>1069</v>
      </c>
      <c r="C83" s="18" t="s">
        <v>922</v>
      </c>
      <c r="D83" s="18" t="s">
        <v>933</v>
      </c>
      <c r="E83" s="18" t="s">
        <v>1088</v>
      </c>
      <c r="F83" s="18" t="s">
        <v>925</v>
      </c>
      <c r="G83" s="41" t="s">
        <v>1089</v>
      </c>
      <c r="H83" s="18" t="s">
        <v>927</v>
      </c>
      <c r="I83" s="18" t="s">
        <v>928</v>
      </c>
      <c r="J83" s="18" t="s">
        <v>929</v>
      </c>
    </row>
    <row r="84" ht="33.75" customHeight="true" spans="1:10">
      <c r="A84" s="18" t="s">
        <v>577</v>
      </c>
      <c r="B84" s="18" t="s">
        <v>1069</v>
      </c>
      <c r="C84" s="18" t="s">
        <v>922</v>
      </c>
      <c r="D84" s="18" t="s">
        <v>933</v>
      </c>
      <c r="E84" s="18" t="s">
        <v>1090</v>
      </c>
      <c r="F84" s="18" t="s">
        <v>985</v>
      </c>
      <c r="G84" s="41" t="s">
        <v>53</v>
      </c>
      <c r="H84" s="18" t="s">
        <v>927</v>
      </c>
      <c r="I84" s="18" t="s">
        <v>928</v>
      </c>
      <c r="J84" s="18" t="s">
        <v>929</v>
      </c>
    </row>
    <row r="85" ht="33.75" customHeight="true" spans="1:10">
      <c r="A85" s="18" t="s">
        <v>577</v>
      </c>
      <c r="B85" s="18" t="s">
        <v>1069</v>
      </c>
      <c r="C85" s="18" t="s">
        <v>940</v>
      </c>
      <c r="D85" s="18" t="s">
        <v>941</v>
      </c>
      <c r="E85" s="18" t="s">
        <v>1091</v>
      </c>
      <c r="F85" s="18" t="s">
        <v>938</v>
      </c>
      <c r="G85" s="41" t="s">
        <v>1092</v>
      </c>
      <c r="H85" s="18"/>
      <c r="I85" s="18" t="s">
        <v>956</v>
      </c>
      <c r="J85" s="18" t="s">
        <v>929</v>
      </c>
    </row>
    <row r="86" ht="33.75" customHeight="true" spans="1:10">
      <c r="A86" s="18" t="s">
        <v>577</v>
      </c>
      <c r="B86" s="18" t="s">
        <v>1069</v>
      </c>
      <c r="C86" s="18" t="s">
        <v>940</v>
      </c>
      <c r="D86" s="18" t="s">
        <v>941</v>
      </c>
      <c r="E86" s="18" t="s">
        <v>1093</v>
      </c>
      <c r="F86" s="18" t="s">
        <v>938</v>
      </c>
      <c r="G86" s="41" t="s">
        <v>1094</v>
      </c>
      <c r="H86" s="18"/>
      <c r="I86" s="18" t="s">
        <v>956</v>
      </c>
      <c r="J86" s="18" t="s">
        <v>929</v>
      </c>
    </row>
    <row r="87" ht="33.75" customHeight="true" spans="1:10">
      <c r="A87" s="18" t="s">
        <v>577</v>
      </c>
      <c r="B87" s="18" t="s">
        <v>1069</v>
      </c>
      <c r="C87" s="18" t="s">
        <v>940</v>
      </c>
      <c r="D87" s="18" t="s">
        <v>957</v>
      </c>
      <c r="E87" s="18" t="s">
        <v>1095</v>
      </c>
      <c r="F87" s="18" t="s">
        <v>938</v>
      </c>
      <c r="G87" s="41" t="s">
        <v>1094</v>
      </c>
      <c r="H87" s="18"/>
      <c r="I87" s="18" t="s">
        <v>956</v>
      </c>
      <c r="J87" s="18" t="s">
        <v>929</v>
      </c>
    </row>
    <row r="88" ht="33.75" customHeight="true" spans="1:10">
      <c r="A88" s="18" t="s">
        <v>577</v>
      </c>
      <c r="B88" s="18" t="s">
        <v>1069</v>
      </c>
      <c r="C88" s="18" t="s">
        <v>944</v>
      </c>
      <c r="D88" s="18" t="s">
        <v>945</v>
      </c>
      <c r="E88" s="18" t="s">
        <v>1096</v>
      </c>
      <c r="F88" s="18" t="s">
        <v>938</v>
      </c>
      <c r="G88" s="41" t="s">
        <v>1097</v>
      </c>
      <c r="H88" s="18"/>
      <c r="I88" s="18" t="s">
        <v>956</v>
      </c>
      <c r="J88" s="18" t="s">
        <v>929</v>
      </c>
    </row>
    <row r="89" ht="33.75" customHeight="true" spans="1:10">
      <c r="A89" s="18" t="s">
        <v>606</v>
      </c>
      <c r="B89" s="18" t="s">
        <v>606</v>
      </c>
      <c r="C89" s="18" t="s">
        <v>922</v>
      </c>
      <c r="D89" s="18" t="s">
        <v>923</v>
      </c>
      <c r="E89" s="18" t="s">
        <v>606</v>
      </c>
      <c r="F89" s="18" t="s">
        <v>925</v>
      </c>
      <c r="G89" s="41" t="s">
        <v>1098</v>
      </c>
      <c r="H89" s="18" t="s">
        <v>927</v>
      </c>
      <c r="I89" s="18" t="s">
        <v>928</v>
      </c>
      <c r="J89" s="18" t="s">
        <v>606</v>
      </c>
    </row>
    <row r="90" ht="33.75" customHeight="true" spans="1:10">
      <c r="A90" s="18" t="s">
        <v>606</v>
      </c>
      <c r="B90" s="18" t="s">
        <v>606</v>
      </c>
      <c r="C90" s="18" t="s">
        <v>922</v>
      </c>
      <c r="D90" s="18" t="s">
        <v>923</v>
      </c>
      <c r="E90" s="18" t="s">
        <v>606</v>
      </c>
      <c r="F90" s="18" t="s">
        <v>925</v>
      </c>
      <c r="G90" s="41" t="s">
        <v>926</v>
      </c>
      <c r="H90" s="18" t="s">
        <v>927</v>
      </c>
      <c r="I90" s="18" t="s">
        <v>928</v>
      </c>
      <c r="J90" s="18" t="s">
        <v>606</v>
      </c>
    </row>
    <row r="91" ht="33.75" customHeight="true" spans="1:10">
      <c r="A91" s="18" t="s">
        <v>606</v>
      </c>
      <c r="B91" s="18" t="s">
        <v>606</v>
      </c>
      <c r="C91" s="18" t="s">
        <v>922</v>
      </c>
      <c r="D91" s="18" t="s">
        <v>923</v>
      </c>
      <c r="E91" s="18" t="s">
        <v>606</v>
      </c>
      <c r="F91" s="18" t="s">
        <v>925</v>
      </c>
      <c r="G91" s="41" t="s">
        <v>935</v>
      </c>
      <c r="H91" s="18" t="s">
        <v>927</v>
      </c>
      <c r="I91" s="18" t="s">
        <v>928</v>
      </c>
      <c r="J91" s="18" t="s">
        <v>606</v>
      </c>
    </row>
    <row r="92" ht="33.75" customHeight="true" spans="1:10">
      <c r="A92" s="18" t="s">
        <v>606</v>
      </c>
      <c r="B92" s="18" t="s">
        <v>606</v>
      </c>
      <c r="C92" s="18" t="s">
        <v>922</v>
      </c>
      <c r="D92" s="18" t="s">
        <v>923</v>
      </c>
      <c r="E92" s="18" t="s">
        <v>606</v>
      </c>
      <c r="F92" s="18" t="s">
        <v>938</v>
      </c>
      <c r="G92" s="41" t="s">
        <v>939</v>
      </c>
      <c r="H92" s="18" t="s">
        <v>927</v>
      </c>
      <c r="I92" s="18" t="s">
        <v>928</v>
      </c>
      <c r="J92" s="18" t="s">
        <v>606</v>
      </c>
    </row>
    <row r="93" ht="33.75" customHeight="true" spans="1:10">
      <c r="A93" s="18" t="s">
        <v>606</v>
      </c>
      <c r="B93" s="18" t="s">
        <v>606</v>
      </c>
      <c r="C93" s="18" t="s">
        <v>922</v>
      </c>
      <c r="D93" s="18" t="s">
        <v>923</v>
      </c>
      <c r="E93" s="18" t="s">
        <v>606</v>
      </c>
      <c r="F93" s="18" t="s">
        <v>938</v>
      </c>
      <c r="G93" s="41" t="s">
        <v>939</v>
      </c>
      <c r="H93" s="18" t="s">
        <v>927</v>
      </c>
      <c r="I93" s="18" t="s">
        <v>928</v>
      </c>
      <c r="J93" s="18" t="s">
        <v>606</v>
      </c>
    </row>
    <row r="94" ht="33.75" customHeight="true" spans="1:10">
      <c r="A94" s="18" t="s">
        <v>606</v>
      </c>
      <c r="B94" s="18" t="s">
        <v>606</v>
      </c>
      <c r="C94" s="18" t="s">
        <v>922</v>
      </c>
      <c r="D94" s="18" t="s">
        <v>923</v>
      </c>
      <c r="E94" s="18" t="s">
        <v>606</v>
      </c>
      <c r="F94" s="18" t="s">
        <v>938</v>
      </c>
      <c r="G94" s="41" t="s">
        <v>939</v>
      </c>
      <c r="H94" s="18" t="s">
        <v>927</v>
      </c>
      <c r="I94" s="18" t="s">
        <v>928</v>
      </c>
      <c r="J94" s="18" t="s">
        <v>606</v>
      </c>
    </row>
    <row r="95" ht="33.75" customHeight="true" spans="1:10">
      <c r="A95" s="18" t="s">
        <v>606</v>
      </c>
      <c r="B95" s="18" t="s">
        <v>606</v>
      </c>
      <c r="C95" s="18" t="s">
        <v>922</v>
      </c>
      <c r="D95" s="18" t="s">
        <v>923</v>
      </c>
      <c r="E95" s="18" t="s">
        <v>606</v>
      </c>
      <c r="F95" s="18" t="s">
        <v>938</v>
      </c>
      <c r="G95" s="41" t="s">
        <v>939</v>
      </c>
      <c r="H95" s="18" t="s">
        <v>927</v>
      </c>
      <c r="I95" s="18" t="s">
        <v>928</v>
      </c>
      <c r="J95" s="18" t="s">
        <v>606</v>
      </c>
    </row>
    <row r="96" ht="33.75" customHeight="true" spans="1:10">
      <c r="A96" s="18" t="s">
        <v>606</v>
      </c>
      <c r="B96" s="18" t="s">
        <v>606</v>
      </c>
      <c r="C96" s="18" t="s">
        <v>922</v>
      </c>
      <c r="D96" s="18" t="s">
        <v>933</v>
      </c>
      <c r="E96" s="18" t="s">
        <v>606</v>
      </c>
      <c r="F96" s="18" t="s">
        <v>925</v>
      </c>
      <c r="G96" s="41" t="s">
        <v>935</v>
      </c>
      <c r="H96" s="18" t="s">
        <v>927</v>
      </c>
      <c r="I96" s="18" t="s">
        <v>928</v>
      </c>
      <c r="J96" s="18" t="s">
        <v>606</v>
      </c>
    </row>
    <row r="97" ht="33.75" customHeight="true" spans="1:10">
      <c r="A97" s="18" t="s">
        <v>606</v>
      </c>
      <c r="B97" s="18" t="s">
        <v>606</v>
      </c>
      <c r="C97" s="18" t="s">
        <v>922</v>
      </c>
      <c r="D97" s="18" t="s">
        <v>933</v>
      </c>
      <c r="E97" s="18" t="s">
        <v>606</v>
      </c>
      <c r="F97" s="18" t="s">
        <v>925</v>
      </c>
      <c r="G97" s="41" t="s">
        <v>926</v>
      </c>
      <c r="H97" s="18" t="s">
        <v>927</v>
      </c>
      <c r="I97" s="18" t="s">
        <v>928</v>
      </c>
      <c r="J97" s="18" t="s">
        <v>606</v>
      </c>
    </row>
    <row r="98" ht="33.75" customHeight="true" spans="1:10">
      <c r="A98" s="18" t="s">
        <v>606</v>
      </c>
      <c r="B98" s="18" t="s">
        <v>606</v>
      </c>
      <c r="C98" s="18" t="s">
        <v>922</v>
      </c>
      <c r="D98" s="18" t="s">
        <v>933</v>
      </c>
      <c r="E98" s="18" t="s">
        <v>606</v>
      </c>
      <c r="F98" s="18" t="s">
        <v>938</v>
      </c>
      <c r="G98" s="41" t="s">
        <v>939</v>
      </c>
      <c r="H98" s="18" t="s">
        <v>927</v>
      </c>
      <c r="I98" s="18" t="s">
        <v>928</v>
      </c>
      <c r="J98" s="18" t="s">
        <v>606</v>
      </c>
    </row>
    <row r="99" ht="33.75" customHeight="true" spans="1:10">
      <c r="A99" s="18" t="s">
        <v>606</v>
      </c>
      <c r="B99" s="18" t="s">
        <v>606</v>
      </c>
      <c r="C99" s="18" t="s">
        <v>922</v>
      </c>
      <c r="D99" s="18" t="s">
        <v>933</v>
      </c>
      <c r="E99" s="18" t="s">
        <v>606</v>
      </c>
      <c r="F99" s="18" t="s">
        <v>938</v>
      </c>
      <c r="G99" s="41" t="s">
        <v>939</v>
      </c>
      <c r="H99" s="18" t="s">
        <v>927</v>
      </c>
      <c r="I99" s="18" t="s">
        <v>928</v>
      </c>
      <c r="J99" s="18" t="s">
        <v>606</v>
      </c>
    </row>
    <row r="100" ht="33.75" customHeight="true" spans="1:10">
      <c r="A100" s="18" t="s">
        <v>606</v>
      </c>
      <c r="B100" s="18" t="s">
        <v>606</v>
      </c>
      <c r="C100" s="18" t="s">
        <v>940</v>
      </c>
      <c r="D100" s="18" t="s">
        <v>957</v>
      </c>
      <c r="E100" s="18" t="s">
        <v>606</v>
      </c>
      <c r="F100" s="18" t="s">
        <v>1099</v>
      </c>
      <c r="G100" s="41" t="s">
        <v>959</v>
      </c>
      <c r="H100" s="18" t="s">
        <v>927</v>
      </c>
      <c r="I100" s="18" t="s">
        <v>956</v>
      </c>
      <c r="J100" s="18" t="s">
        <v>606</v>
      </c>
    </row>
    <row r="101" ht="33.75" customHeight="true" spans="1:10">
      <c r="A101" s="18" t="s">
        <v>606</v>
      </c>
      <c r="B101" s="18" t="s">
        <v>606</v>
      </c>
      <c r="C101" s="18" t="s">
        <v>944</v>
      </c>
      <c r="D101" s="18" t="s">
        <v>945</v>
      </c>
      <c r="E101" s="18" t="s">
        <v>606</v>
      </c>
      <c r="F101" s="18" t="s">
        <v>938</v>
      </c>
      <c r="G101" s="41" t="s">
        <v>935</v>
      </c>
      <c r="H101" s="18" t="s">
        <v>927</v>
      </c>
      <c r="I101" s="18" t="s">
        <v>928</v>
      </c>
      <c r="J101" s="18" t="s">
        <v>606</v>
      </c>
    </row>
    <row r="102" ht="33.75" customHeight="true" spans="1:10">
      <c r="A102" s="18" t="s">
        <v>581</v>
      </c>
      <c r="B102" s="18" t="s">
        <v>1100</v>
      </c>
      <c r="C102" s="18" t="s">
        <v>922</v>
      </c>
      <c r="D102" s="18" t="s">
        <v>923</v>
      </c>
      <c r="E102" s="18" t="s">
        <v>1070</v>
      </c>
      <c r="F102" s="18" t="s">
        <v>925</v>
      </c>
      <c r="G102" s="41" t="s">
        <v>935</v>
      </c>
      <c r="H102" s="18" t="s">
        <v>927</v>
      </c>
      <c r="I102" s="18" t="s">
        <v>928</v>
      </c>
      <c r="J102" s="18" t="s">
        <v>929</v>
      </c>
    </row>
    <row r="103" ht="33.75" customHeight="true" spans="1:10">
      <c r="A103" s="18" t="s">
        <v>581</v>
      </c>
      <c r="B103" s="18" t="s">
        <v>1100</v>
      </c>
      <c r="C103" s="18" t="s">
        <v>922</v>
      </c>
      <c r="D103" s="18" t="s">
        <v>923</v>
      </c>
      <c r="E103" s="18" t="s">
        <v>1071</v>
      </c>
      <c r="F103" s="18" t="s">
        <v>925</v>
      </c>
      <c r="G103" s="41" t="s">
        <v>935</v>
      </c>
      <c r="H103" s="18" t="s">
        <v>927</v>
      </c>
      <c r="I103" s="18" t="s">
        <v>928</v>
      </c>
      <c r="J103" s="18" t="s">
        <v>929</v>
      </c>
    </row>
    <row r="104" ht="33.75" customHeight="true" spans="1:10">
      <c r="A104" s="18" t="s">
        <v>581</v>
      </c>
      <c r="B104" s="18" t="s">
        <v>1100</v>
      </c>
      <c r="C104" s="18" t="s">
        <v>922</v>
      </c>
      <c r="D104" s="18" t="s">
        <v>923</v>
      </c>
      <c r="E104" s="18" t="s">
        <v>1101</v>
      </c>
      <c r="F104" s="18" t="s">
        <v>985</v>
      </c>
      <c r="G104" s="41" t="s">
        <v>1102</v>
      </c>
      <c r="H104" s="18" t="s">
        <v>927</v>
      </c>
      <c r="I104" s="18" t="s">
        <v>928</v>
      </c>
      <c r="J104" s="18" t="s">
        <v>929</v>
      </c>
    </row>
    <row r="105" ht="33.75" customHeight="true" spans="1:10">
      <c r="A105" s="18" t="s">
        <v>581</v>
      </c>
      <c r="B105" s="18" t="s">
        <v>1100</v>
      </c>
      <c r="C105" s="18" t="s">
        <v>922</v>
      </c>
      <c r="D105" s="18" t="s">
        <v>923</v>
      </c>
      <c r="E105" s="18" t="s">
        <v>1074</v>
      </c>
      <c r="F105" s="18" t="s">
        <v>925</v>
      </c>
      <c r="G105" s="41" t="s">
        <v>935</v>
      </c>
      <c r="H105" s="18" t="s">
        <v>927</v>
      </c>
      <c r="I105" s="18" t="s">
        <v>928</v>
      </c>
      <c r="J105" s="18" t="s">
        <v>929</v>
      </c>
    </row>
    <row r="106" ht="33.75" customHeight="true" spans="1:10">
      <c r="A106" s="18" t="s">
        <v>581</v>
      </c>
      <c r="B106" s="18" t="s">
        <v>1100</v>
      </c>
      <c r="C106" s="18" t="s">
        <v>922</v>
      </c>
      <c r="D106" s="18" t="s">
        <v>923</v>
      </c>
      <c r="E106" s="18" t="s">
        <v>1075</v>
      </c>
      <c r="F106" s="18" t="s">
        <v>925</v>
      </c>
      <c r="G106" s="41" t="s">
        <v>1076</v>
      </c>
      <c r="H106" s="18" t="s">
        <v>927</v>
      </c>
      <c r="I106" s="18" t="s">
        <v>928</v>
      </c>
      <c r="J106" s="18" t="s">
        <v>929</v>
      </c>
    </row>
    <row r="107" ht="33.75" customHeight="true" spans="1:10">
      <c r="A107" s="18" t="s">
        <v>581</v>
      </c>
      <c r="B107" s="18" t="s">
        <v>1100</v>
      </c>
      <c r="C107" s="18" t="s">
        <v>922</v>
      </c>
      <c r="D107" s="18" t="s">
        <v>933</v>
      </c>
      <c r="E107" s="18" t="s">
        <v>1082</v>
      </c>
      <c r="F107" s="18" t="s">
        <v>925</v>
      </c>
      <c r="G107" s="41" t="s">
        <v>1103</v>
      </c>
      <c r="H107" s="18" t="s">
        <v>927</v>
      </c>
      <c r="I107" s="18" t="s">
        <v>928</v>
      </c>
      <c r="J107" s="18" t="s">
        <v>929</v>
      </c>
    </row>
    <row r="108" ht="33.75" customHeight="true" spans="1:10">
      <c r="A108" s="18" t="s">
        <v>581</v>
      </c>
      <c r="B108" s="18" t="s">
        <v>1100</v>
      </c>
      <c r="C108" s="18" t="s">
        <v>922</v>
      </c>
      <c r="D108" s="18" t="s">
        <v>933</v>
      </c>
      <c r="E108" s="18" t="s">
        <v>1083</v>
      </c>
      <c r="F108" s="18" t="s">
        <v>925</v>
      </c>
      <c r="G108" s="41" t="s">
        <v>1103</v>
      </c>
      <c r="H108" s="18" t="s">
        <v>927</v>
      </c>
      <c r="I108" s="18" t="s">
        <v>928</v>
      </c>
      <c r="J108" s="18" t="s">
        <v>929</v>
      </c>
    </row>
    <row r="109" ht="33.75" customHeight="true" spans="1:10">
      <c r="A109" s="18" t="s">
        <v>581</v>
      </c>
      <c r="B109" s="18" t="s">
        <v>1100</v>
      </c>
      <c r="C109" s="18" t="s">
        <v>922</v>
      </c>
      <c r="D109" s="18" t="s">
        <v>933</v>
      </c>
      <c r="E109" s="18" t="s">
        <v>1084</v>
      </c>
      <c r="F109" s="18" t="s">
        <v>925</v>
      </c>
      <c r="G109" s="41" t="s">
        <v>1103</v>
      </c>
      <c r="H109" s="18" t="s">
        <v>927</v>
      </c>
      <c r="I109" s="18" t="s">
        <v>928</v>
      </c>
      <c r="J109" s="18" t="s">
        <v>929</v>
      </c>
    </row>
    <row r="110" ht="33.75" customHeight="true" spans="1:10">
      <c r="A110" s="18" t="s">
        <v>581</v>
      </c>
      <c r="B110" s="18" t="s">
        <v>1100</v>
      </c>
      <c r="C110" s="18" t="s">
        <v>922</v>
      </c>
      <c r="D110" s="18" t="s">
        <v>933</v>
      </c>
      <c r="E110" s="18" t="s">
        <v>1078</v>
      </c>
      <c r="F110" s="18" t="s">
        <v>925</v>
      </c>
      <c r="G110" s="41" t="s">
        <v>963</v>
      </c>
      <c r="H110" s="18" t="s">
        <v>927</v>
      </c>
      <c r="I110" s="18" t="s">
        <v>928</v>
      </c>
      <c r="J110" s="18" t="s">
        <v>929</v>
      </c>
    </row>
    <row r="111" ht="33.75" customHeight="true" spans="1:10">
      <c r="A111" s="18" t="s">
        <v>581</v>
      </c>
      <c r="B111" s="18" t="s">
        <v>1100</v>
      </c>
      <c r="C111" s="18" t="s">
        <v>922</v>
      </c>
      <c r="D111" s="18" t="s">
        <v>933</v>
      </c>
      <c r="E111" s="18" t="s">
        <v>1077</v>
      </c>
      <c r="F111" s="18" t="s">
        <v>925</v>
      </c>
      <c r="G111" s="41" t="s">
        <v>935</v>
      </c>
      <c r="H111" s="18" t="s">
        <v>927</v>
      </c>
      <c r="I111" s="18" t="s">
        <v>928</v>
      </c>
      <c r="J111" s="18" t="s">
        <v>929</v>
      </c>
    </row>
    <row r="112" ht="33.75" customHeight="true" spans="1:10">
      <c r="A112" s="18" t="s">
        <v>581</v>
      </c>
      <c r="B112" s="18" t="s">
        <v>1100</v>
      </c>
      <c r="C112" s="18" t="s">
        <v>940</v>
      </c>
      <c r="D112" s="18" t="s">
        <v>941</v>
      </c>
      <c r="E112" s="18" t="s">
        <v>1104</v>
      </c>
      <c r="F112" s="18" t="s">
        <v>925</v>
      </c>
      <c r="G112" s="41" t="s">
        <v>212</v>
      </c>
      <c r="H112" s="18" t="s">
        <v>927</v>
      </c>
      <c r="I112" s="18" t="s">
        <v>928</v>
      </c>
      <c r="J112" s="18" t="s">
        <v>929</v>
      </c>
    </row>
    <row r="113" ht="33.75" customHeight="true" spans="1:10">
      <c r="A113" s="18" t="s">
        <v>581</v>
      </c>
      <c r="B113" s="18" t="s">
        <v>1100</v>
      </c>
      <c r="C113" s="18" t="s">
        <v>940</v>
      </c>
      <c r="D113" s="18" t="s">
        <v>941</v>
      </c>
      <c r="E113" s="18" t="s">
        <v>1105</v>
      </c>
      <c r="F113" s="18" t="s">
        <v>925</v>
      </c>
      <c r="G113" s="41" t="s">
        <v>926</v>
      </c>
      <c r="H113" s="18" t="s">
        <v>927</v>
      </c>
      <c r="I113" s="18" t="s">
        <v>928</v>
      </c>
      <c r="J113" s="18" t="s">
        <v>929</v>
      </c>
    </row>
    <row r="114" ht="33.75" customHeight="true" spans="1:10">
      <c r="A114" s="18" t="s">
        <v>581</v>
      </c>
      <c r="B114" s="18" t="s">
        <v>1100</v>
      </c>
      <c r="C114" s="18" t="s">
        <v>940</v>
      </c>
      <c r="D114" s="18" t="s">
        <v>957</v>
      </c>
      <c r="E114" s="18" t="s">
        <v>1106</v>
      </c>
      <c r="F114" s="18" t="s">
        <v>938</v>
      </c>
      <c r="G114" s="41" t="s">
        <v>1107</v>
      </c>
      <c r="H114" s="18"/>
      <c r="I114" s="18" t="s">
        <v>956</v>
      </c>
      <c r="J114" s="18" t="s">
        <v>929</v>
      </c>
    </row>
    <row r="115" ht="33.75" customHeight="true" spans="1:10">
      <c r="A115" s="18" t="s">
        <v>581</v>
      </c>
      <c r="B115" s="18" t="s">
        <v>1100</v>
      </c>
      <c r="C115" s="18" t="s">
        <v>944</v>
      </c>
      <c r="D115" s="18" t="s">
        <v>945</v>
      </c>
      <c r="E115" s="18" t="s">
        <v>945</v>
      </c>
      <c r="F115" s="18" t="s">
        <v>925</v>
      </c>
      <c r="G115" s="41" t="s">
        <v>963</v>
      </c>
      <c r="H115" s="18" t="s">
        <v>927</v>
      </c>
      <c r="I115" s="18" t="s">
        <v>928</v>
      </c>
      <c r="J115" s="18" t="s">
        <v>929</v>
      </c>
    </row>
    <row r="116" ht="33.75" customHeight="true" spans="1:10">
      <c r="A116" s="18" t="s">
        <v>547</v>
      </c>
      <c r="B116" s="18" t="s">
        <v>1108</v>
      </c>
      <c r="C116" s="18" t="s">
        <v>922</v>
      </c>
      <c r="D116" s="18" t="s">
        <v>923</v>
      </c>
      <c r="E116" s="18" t="s">
        <v>1109</v>
      </c>
      <c r="F116" s="18" t="s">
        <v>925</v>
      </c>
      <c r="G116" s="41" t="s">
        <v>939</v>
      </c>
      <c r="H116" s="18" t="s">
        <v>927</v>
      </c>
      <c r="I116" s="18" t="s">
        <v>928</v>
      </c>
      <c r="J116" s="18" t="s">
        <v>1110</v>
      </c>
    </row>
    <row r="117" ht="33.75" customHeight="true" spans="1:10">
      <c r="A117" s="18" t="s">
        <v>547</v>
      </c>
      <c r="B117" s="18" t="s">
        <v>1108</v>
      </c>
      <c r="C117" s="18" t="s">
        <v>922</v>
      </c>
      <c r="D117" s="18" t="s">
        <v>923</v>
      </c>
      <c r="E117" s="18" t="s">
        <v>1111</v>
      </c>
      <c r="F117" s="18" t="s">
        <v>925</v>
      </c>
      <c r="G117" s="41" t="s">
        <v>935</v>
      </c>
      <c r="H117" s="18" t="s">
        <v>927</v>
      </c>
      <c r="I117" s="18" t="s">
        <v>928</v>
      </c>
      <c r="J117" s="18" t="s">
        <v>1112</v>
      </c>
    </row>
    <row r="118" ht="33.75" customHeight="true" spans="1:10">
      <c r="A118" s="18" t="s">
        <v>547</v>
      </c>
      <c r="B118" s="18" t="s">
        <v>1108</v>
      </c>
      <c r="C118" s="18" t="s">
        <v>922</v>
      </c>
      <c r="D118" s="18" t="s">
        <v>933</v>
      </c>
      <c r="E118" s="18" t="s">
        <v>1113</v>
      </c>
      <c r="F118" s="18" t="s">
        <v>938</v>
      </c>
      <c r="G118" s="41" t="s">
        <v>939</v>
      </c>
      <c r="H118" s="18" t="s">
        <v>927</v>
      </c>
      <c r="I118" s="18" t="s">
        <v>928</v>
      </c>
      <c r="J118" s="18" t="s">
        <v>1114</v>
      </c>
    </row>
    <row r="119" ht="33.75" customHeight="true" spans="1:10">
      <c r="A119" s="18" t="s">
        <v>547</v>
      </c>
      <c r="B119" s="18" t="s">
        <v>1108</v>
      </c>
      <c r="C119" s="18" t="s">
        <v>922</v>
      </c>
      <c r="D119" s="18" t="s">
        <v>936</v>
      </c>
      <c r="E119" s="18" t="s">
        <v>1115</v>
      </c>
      <c r="F119" s="18" t="s">
        <v>938</v>
      </c>
      <c r="G119" s="41" t="s">
        <v>939</v>
      </c>
      <c r="H119" s="18" t="s">
        <v>927</v>
      </c>
      <c r="I119" s="18" t="s">
        <v>928</v>
      </c>
      <c r="J119" s="18" t="s">
        <v>1116</v>
      </c>
    </row>
    <row r="120" ht="33.75" customHeight="true" spans="1:10">
      <c r="A120" s="18" t="s">
        <v>547</v>
      </c>
      <c r="B120" s="18" t="s">
        <v>1108</v>
      </c>
      <c r="C120" s="18" t="s">
        <v>940</v>
      </c>
      <c r="D120" s="18" t="s">
        <v>941</v>
      </c>
      <c r="E120" s="18" t="s">
        <v>1117</v>
      </c>
      <c r="F120" s="18" t="s">
        <v>925</v>
      </c>
      <c r="G120" s="41" t="s">
        <v>1118</v>
      </c>
      <c r="H120" s="18" t="s">
        <v>995</v>
      </c>
      <c r="I120" s="18" t="s">
        <v>928</v>
      </c>
      <c r="J120" s="18" t="s">
        <v>1119</v>
      </c>
    </row>
    <row r="121" ht="33.75" customHeight="true" spans="1:10">
      <c r="A121" s="18" t="s">
        <v>547</v>
      </c>
      <c r="B121" s="18" t="s">
        <v>1108</v>
      </c>
      <c r="C121" s="18" t="s">
        <v>944</v>
      </c>
      <c r="D121" s="18" t="s">
        <v>945</v>
      </c>
      <c r="E121" s="18" t="s">
        <v>1120</v>
      </c>
      <c r="F121" s="18" t="s">
        <v>925</v>
      </c>
      <c r="G121" s="41" t="s">
        <v>935</v>
      </c>
      <c r="H121" s="18" t="s">
        <v>927</v>
      </c>
      <c r="I121" s="18" t="s">
        <v>928</v>
      </c>
      <c r="J121" s="18" t="s">
        <v>1121</v>
      </c>
    </row>
    <row r="122" ht="33.75" customHeight="true" spans="1:10">
      <c r="A122" s="18" t="s">
        <v>543</v>
      </c>
      <c r="B122" s="18" t="s">
        <v>1122</v>
      </c>
      <c r="C122" s="18" t="s">
        <v>922</v>
      </c>
      <c r="D122" s="18" t="s">
        <v>923</v>
      </c>
      <c r="E122" s="18" t="s">
        <v>1123</v>
      </c>
      <c r="F122" s="18" t="s">
        <v>1099</v>
      </c>
      <c r="G122" s="41" t="s">
        <v>1124</v>
      </c>
      <c r="H122" s="18" t="s">
        <v>952</v>
      </c>
      <c r="I122" s="18" t="s">
        <v>928</v>
      </c>
      <c r="J122" s="18" t="s">
        <v>1125</v>
      </c>
    </row>
    <row r="123" ht="33.75" customHeight="true" spans="1:10">
      <c r="A123" s="18" t="s">
        <v>543</v>
      </c>
      <c r="B123" s="18" t="s">
        <v>1122</v>
      </c>
      <c r="C123" s="18" t="s">
        <v>922</v>
      </c>
      <c r="D123" s="18" t="s">
        <v>923</v>
      </c>
      <c r="E123" s="18" t="s">
        <v>1126</v>
      </c>
      <c r="F123" s="18" t="s">
        <v>1099</v>
      </c>
      <c r="G123" s="41" t="s">
        <v>1127</v>
      </c>
      <c r="H123" s="18" t="s">
        <v>1128</v>
      </c>
      <c r="I123" s="18" t="s">
        <v>928</v>
      </c>
      <c r="J123" s="18" t="s">
        <v>1129</v>
      </c>
    </row>
    <row r="124" ht="33.75" customHeight="true" spans="1:10">
      <c r="A124" s="18" t="s">
        <v>543</v>
      </c>
      <c r="B124" s="18" t="s">
        <v>1122</v>
      </c>
      <c r="C124" s="18" t="s">
        <v>922</v>
      </c>
      <c r="D124" s="18" t="s">
        <v>923</v>
      </c>
      <c r="E124" s="18" t="s">
        <v>44</v>
      </c>
      <c r="F124" s="18" t="s">
        <v>1099</v>
      </c>
      <c r="G124" s="41" t="s">
        <v>1130</v>
      </c>
      <c r="H124" s="18" t="s">
        <v>952</v>
      </c>
      <c r="I124" s="18" t="s">
        <v>928</v>
      </c>
      <c r="J124" s="18" t="s">
        <v>1131</v>
      </c>
    </row>
    <row r="125" ht="33.75" customHeight="true" spans="1:10">
      <c r="A125" s="18" t="s">
        <v>543</v>
      </c>
      <c r="B125" s="18" t="s">
        <v>1122</v>
      </c>
      <c r="C125" s="18" t="s">
        <v>922</v>
      </c>
      <c r="D125" s="18" t="s">
        <v>923</v>
      </c>
      <c r="E125" s="18" t="s">
        <v>939</v>
      </c>
      <c r="F125" s="18" t="s">
        <v>925</v>
      </c>
      <c r="G125" s="41" t="s">
        <v>1132</v>
      </c>
      <c r="H125" s="18" t="s">
        <v>952</v>
      </c>
      <c r="I125" s="18" t="s">
        <v>928</v>
      </c>
      <c r="J125" s="18" t="s">
        <v>1133</v>
      </c>
    </row>
    <row r="126" ht="33.75" customHeight="true" spans="1:10">
      <c r="A126" s="18" t="s">
        <v>543</v>
      </c>
      <c r="B126" s="18" t="s">
        <v>1122</v>
      </c>
      <c r="C126" s="18" t="s">
        <v>922</v>
      </c>
      <c r="D126" s="18" t="s">
        <v>923</v>
      </c>
      <c r="E126" s="18" t="s">
        <v>1134</v>
      </c>
      <c r="F126" s="18" t="s">
        <v>925</v>
      </c>
      <c r="G126" s="41" t="s">
        <v>1135</v>
      </c>
      <c r="H126" s="18" t="s">
        <v>952</v>
      </c>
      <c r="I126" s="18" t="s">
        <v>928</v>
      </c>
      <c r="J126" s="18" t="s">
        <v>1134</v>
      </c>
    </row>
    <row r="127" ht="33.75" customHeight="true" spans="1:10">
      <c r="A127" s="18" t="s">
        <v>543</v>
      </c>
      <c r="B127" s="18" t="s">
        <v>1122</v>
      </c>
      <c r="C127" s="18" t="s">
        <v>922</v>
      </c>
      <c r="D127" s="18" t="s">
        <v>933</v>
      </c>
      <c r="E127" s="18" t="s">
        <v>1136</v>
      </c>
      <c r="F127" s="18" t="s">
        <v>925</v>
      </c>
      <c r="G127" s="41" t="s">
        <v>935</v>
      </c>
      <c r="H127" s="18" t="s">
        <v>927</v>
      </c>
      <c r="I127" s="18" t="s">
        <v>928</v>
      </c>
      <c r="J127" s="18" t="s">
        <v>1137</v>
      </c>
    </row>
    <row r="128" ht="33.75" customHeight="true" spans="1:10">
      <c r="A128" s="18" t="s">
        <v>543</v>
      </c>
      <c r="B128" s="18" t="s">
        <v>1122</v>
      </c>
      <c r="C128" s="18" t="s">
        <v>922</v>
      </c>
      <c r="D128" s="18" t="s">
        <v>933</v>
      </c>
      <c r="E128" s="18" t="s">
        <v>1138</v>
      </c>
      <c r="F128" s="18" t="s">
        <v>925</v>
      </c>
      <c r="G128" s="41" t="s">
        <v>963</v>
      </c>
      <c r="H128" s="18" t="s">
        <v>927</v>
      </c>
      <c r="I128" s="18" t="s">
        <v>928</v>
      </c>
      <c r="J128" s="18" t="s">
        <v>1139</v>
      </c>
    </row>
    <row r="129" ht="33.75" customHeight="true" spans="1:10">
      <c r="A129" s="18" t="s">
        <v>543</v>
      </c>
      <c r="B129" s="18" t="s">
        <v>1122</v>
      </c>
      <c r="C129" s="18" t="s">
        <v>922</v>
      </c>
      <c r="D129" s="18" t="s">
        <v>933</v>
      </c>
      <c r="E129" s="18" t="s">
        <v>1072</v>
      </c>
      <c r="F129" s="18" t="s">
        <v>925</v>
      </c>
      <c r="G129" s="41" t="s">
        <v>935</v>
      </c>
      <c r="H129" s="18" t="s">
        <v>927</v>
      </c>
      <c r="I129" s="18" t="s">
        <v>928</v>
      </c>
      <c r="J129" s="18" t="s">
        <v>1140</v>
      </c>
    </row>
    <row r="130" ht="33.75" customHeight="true" spans="1:10">
      <c r="A130" s="18" t="s">
        <v>543</v>
      </c>
      <c r="B130" s="18" t="s">
        <v>1122</v>
      </c>
      <c r="C130" s="18" t="s">
        <v>922</v>
      </c>
      <c r="D130" s="18" t="s">
        <v>933</v>
      </c>
      <c r="E130" s="18" t="s">
        <v>1141</v>
      </c>
      <c r="F130" s="18" t="s">
        <v>925</v>
      </c>
      <c r="G130" s="41" t="s">
        <v>935</v>
      </c>
      <c r="H130" s="18" t="s">
        <v>927</v>
      </c>
      <c r="I130" s="18" t="s">
        <v>928</v>
      </c>
      <c r="J130" s="18" t="s">
        <v>1142</v>
      </c>
    </row>
    <row r="131" ht="33.75" customHeight="true" spans="1:10">
      <c r="A131" s="18" t="s">
        <v>543</v>
      </c>
      <c r="B131" s="18" t="s">
        <v>1122</v>
      </c>
      <c r="C131" s="18" t="s">
        <v>922</v>
      </c>
      <c r="D131" s="18" t="s">
        <v>936</v>
      </c>
      <c r="E131" s="18" t="s">
        <v>1143</v>
      </c>
      <c r="F131" s="18" t="s">
        <v>925</v>
      </c>
      <c r="G131" s="41" t="s">
        <v>935</v>
      </c>
      <c r="H131" s="18" t="s">
        <v>927</v>
      </c>
      <c r="I131" s="18" t="s">
        <v>928</v>
      </c>
      <c r="J131" s="18" t="s">
        <v>1144</v>
      </c>
    </row>
    <row r="132" ht="33.75" customHeight="true" spans="1:10">
      <c r="A132" s="18" t="s">
        <v>543</v>
      </c>
      <c r="B132" s="18" t="s">
        <v>1122</v>
      </c>
      <c r="C132" s="18" t="s">
        <v>940</v>
      </c>
      <c r="D132" s="18" t="s">
        <v>941</v>
      </c>
      <c r="E132" s="18" t="s">
        <v>1145</v>
      </c>
      <c r="F132" s="18" t="s">
        <v>938</v>
      </c>
      <c r="G132" s="41" t="s">
        <v>939</v>
      </c>
      <c r="H132" s="18" t="s">
        <v>927</v>
      </c>
      <c r="I132" s="18" t="s">
        <v>928</v>
      </c>
      <c r="J132" s="18" t="s">
        <v>1146</v>
      </c>
    </row>
    <row r="133" ht="33.75" customHeight="true" spans="1:10">
      <c r="A133" s="18" t="s">
        <v>543</v>
      </c>
      <c r="B133" s="18" t="s">
        <v>1122</v>
      </c>
      <c r="C133" s="18" t="s">
        <v>940</v>
      </c>
      <c r="D133" s="18" t="s">
        <v>941</v>
      </c>
      <c r="E133" s="18" t="s">
        <v>1147</v>
      </c>
      <c r="F133" s="18" t="s">
        <v>938</v>
      </c>
      <c r="G133" s="41" t="s">
        <v>939</v>
      </c>
      <c r="H133" s="18" t="s">
        <v>927</v>
      </c>
      <c r="I133" s="18" t="s">
        <v>928</v>
      </c>
      <c r="J133" s="18" t="s">
        <v>1146</v>
      </c>
    </row>
    <row r="134" ht="33.75" customHeight="true" spans="1:10">
      <c r="A134" s="18" t="s">
        <v>543</v>
      </c>
      <c r="B134" s="18" t="s">
        <v>1122</v>
      </c>
      <c r="C134" s="18" t="s">
        <v>944</v>
      </c>
      <c r="D134" s="18" t="s">
        <v>945</v>
      </c>
      <c r="E134" s="18" t="s">
        <v>1148</v>
      </c>
      <c r="F134" s="18" t="s">
        <v>925</v>
      </c>
      <c r="G134" s="41" t="s">
        <v>943</v>
      </c>
      <c r="H134" s="18" t="s">
        <v>927</v>
      </c>
      <c r="I134" s="18" t="s">
        <v>928</v>
      </c>
      <c r="J134" s="18" t="s">
        <v>1149</v>
      </c>
    </row>
    <row r="135" ht="33.75" customHeight="true" spans="1:10">
      <c r="A135" s="18" t="s">
        <v>610</v>
      </c>
      <c r="B135" s="18" t="s">
        <v>610</v>
      </c>
      <c r="C135" s="18" t="s">
        <v>922</v>
      </c>
      <c r="D135" s="18" t="s">
        <v>923</v>
      </c>
      <c r="E135" s="18" t="s">
        <v>610</v>
      </c>
      <c r="F135" s="18" t="s">
        <v>938</v>
      </c>
      <c r="G135" s="41" t="s">
        <v>610</v>
      </c>
      <c r="H135" s="18"/>
      <c r="I135" s="18" t="s">
        <v>956</v>
      </c>
      <c r="J135" s="18" t="s">
        <v>610</v>
      </c>
    </row>
    <row r="136" ht="33.75" customHeight="true" spans="1:10">
      <c r="A136" s="18" t="s">
        <v>610</v>
      </c>
      <c r="B136" s="18" t="s">
        <v>610</v>
      </c>
      <c r="C136" s="18" t="s">
        <v>922</v>
      </c>
      <c r="D136" s="18" t="s">
        <v>933</v>
      </c>
      <c r="E136" s="18" t="s">
        <v>610</v>
      </c>
      <c r="F136" s="18" t="s">
        <v>938</v>
      </c>
      <c r="G136" s="41" t="s">
        <v>610</v>
      </c>
      <c r="H136" s="18"/>
      <c r="I136" s="18" t="s">
        <v>956</v>
      </c>
      <c r="J136" s="18" t="s">
        <v>610</v>
      </c>
    </row>
    <row r="137" ht="33.75" customHeight="true" spans="1:10">
      <c r="A137" s="18" t="s">
        <v>610</v>
      </c>
      <c r="B137" s="18" t="s">
        <v>610</v>
      </c>
      <c r="C137" s="18" t="s">
        <v>922</v>
      </c>
      <c r="D137" s="18" t="s">
        <v>936</v>
      </c>
      <c r="E137" s="18" t="s">
        <v>610</v>
      </c>
      <c r="F137" s="18" t="s">
        <v>938</v>
      </c>
      <c r="G137" s="41" t="s">
        <v>610</v>
      </c>
      <c r="H137" s="18"/>
      <c r="I137" s="18" t="s">
        <v>956</v>
      </c>
      <c r="J137" s="18" t="s">
        <v>610</v>
      </c>
    </row>
    <row r="138" ht="33.75" customHeight="true" spans="1:10">
      <c r="A138" s="18" t="s">
        <v>610</v>
      </c>
      <c r="B138" s="18" t="s">
        <v>610</v>
      </c>
      <c r="C138" s="18" t="s">
        <v>940</v>
      </c>
      <c r="D138" s="18" t="s">
        <v>941</v>
      </c>
      <c r="E138" s="18" t="s">
        <v>610</v>
      </c>
      <c r="F138" s="18" t="s">
        <v>938</v>
      </c>
      <c r="G138" s="41" t="s">
        <v>610</v>
      </c>
      <c r="H138" s="18"/>
      <c r="I138" s="18" t="s">
        <v>956</v>
      </c>
      <c r="J138" s="18" t="s">
        <v>610</v>
      </c>
    </row>
    <row r="139" ht="33.75" customHeight="true" spans="1:10">
      <c r="A139" s="18" t="s">
        <v>610</v>
      </c>
      <c r="B139" s="18" t="s">
        <v>610</v>
      </c>
      <c r="C139" s="18" t="s">
        <v>944</v>
      </c>
      <c r="D139" s="18" t="s">
        <v>945</v>
      </c>
      <c r="E139" s="18" t="s">
        <v>610</v>
      </c>
      <c r="F139" s="18" t="s">
        <v>938</v>
      </c>
      <c r="G139" s="41" t="s">
        <v>610</v>
      </c>
      <c r="H139" s="18"/>
      <c r="I139" s="18" t="s">
        <v>956</v>
      </c>
      <c r="J139" s="18" t="s">
        <v>610</v>
      </c>
    </row>
    <row r="140" ht="62" customHeight="true" spans="1:10">
      <c r="A140" s="18" t="s">
        <v>552</v>
      </c>
      <c r="B140" s="77" t="s">
        <v>1150</v>
      </c>
      <c r="C140" s="18" t="s">
        <v>922</v>
      </c>
      <c r="D140" s="18" t="s">
        <v>923</v>
      </c>
      <c r="E140" s="18" t="s">
        <v>1151</v>
      </c>
      <c r="F140" s="18" t="s">
        <v>985</v>
      </c>
      <c r="G140" s="41" t="s">
        <v>1152</v>
      </c>
      <c r="H140" s="18" t="s">
        <v>952</v>
      </c>
      <c r="I140" s="18" t="s">
        <v>928</v>
      </c>
      <c r="J140" s="18" t="s">
        <v>1153</v>
      </c>
    </row>
    <row r="141" ht="62" customHeight="true" spans="1:10">
      <c r="A141" s="18" t="s">
        <v>552</v>
      </c>
      <c r="B141" s="151"/>
      <c r="C141" s="18" t="s">
        <v>922</v>
      </c>
      <c r="D141" s="18" t="s">
        <v>923</v>
      </c>
      <c r="E141" s="18" t="s">
        <v>1154</v>
      </c>
      <c r="F141" s="18" t="s">
        <v>985</v>
      </c>
      <c r="G141" s="41" t="s">
        <v>1155</v>
      </c>
      <c r="H141" s="18" t="s">
        <v>952</v>
      </c>
      <c r="I141" s="18" t="s">
        <v>928</v>
      </c>
      <c r="J141" s="18" t="s">
        <v>1156</v>
      </c>
    </row>
    <row r="142" ht="62" customHeight="true" spans="1:10">
      <c r="A142" s="18" t="s">
        <v>552</v>
      </c>
      <c r="B142" s="151"/>
      <c r="C142" s="18" t="s">
        <v>922</v>
      </c>
      <c r="D142" s="18" t="s">
        <v>923</v>
      </c>
      <c r="E142" s="18" t="s">
        <v>1157</v>
      </c>
      <c r="F142" s="18" t="s">
        <v>925</v>
      </c>
      <c r="G142" s="41" t="s">
        <v>976</v>
      </c>
      <c r="H142" s="18" t="s">
        <v>1158</v>
      </c>
      <c r="I142" s="18" t="s">
        <v>928</v>
      </c>
      <c r="J142" s="18" t="s">
        <v>1159</v>
      </c>
    </row>
    <row r="143" ht="62" customHeight="true" spans="1:10">
      <c r="A143" s="18" t="s">
        <v>552</v>
      </c>
      <c r="B143" s="151"/>
      <c r="C143" s="18" t="s">
        <v>922</v>
      </c>
      <c r="D143" s="18" t="s">
        <v>923</v>
      </c>
      <c r="E143" s="18" t="s">
        <v>1160</v>
      </c>
      <c r="F143" s="18" t="s">
        <v>985</v>
      </c>
      <c r="G143" s="41" t="s">
        <v>52</v>
      </c>
      <c r="H143" s="18" t="s">
        <v>998</v>
      </c>
      <c r="I143" s="18" t="s">
        <v>928</v>
      </c>
      <c r="J143" s="18" t="s">
        <v>1161</v>
      </c>
    </row>
    <row r="144" ht="62" customHeight="true" spans="1:10">
      <c r="A144" s="18" t="s">
        <v>552</v>
      </c>
      <c r="B144" s="151"/>
      <c r="C144" s="18" t="s">
        <v>922</v>
      </c>
      <c r="D144" s="18" t="s">
        <v>933</v>
      </c>
      <c r="E144" s="18" t="s">
        <v>1073</v>
      </c>
      <c r="F144" s="18" t="s">
        <v>925</v>
      </c>
      <c r="G144" s="41" t="s">
        <v>935</v>
      </c>
      <c r="H144" s="18" t="s">
        <v>927</v>
      </c>
      <c r="I144" s="18" t="s">
        <v>928</v>
      </c>
      <c r="J144" s="18" t="s">
        <v>1162</v>
      </c>
    </row>
    <row r="145" ht="62" customHeight="true" spans="1:10">
      <c r="A145" s="18" t="s">
        <v>552</v>
      </c>
      <c r="B145" s="151"/>
      <c r="C145" s="18" t="s">
        <v>922</v>
      </c>
      <c r="D145" s="18" t="s">
        <v>933</v>
      </c>
      <c r="E145" s="18" t="s">
        <v>1071</v>
      </c>
      <c r="F145" s="18" t="s">
        <v>925</v>
      </c>
      <c r="G145" s="41" t="s">
        <v>935</v>
      </c>
      <c r="H145" s="18" t="s">
        <v>927</v>
      </c>
      <c r="I145" s="18" t="s">
        <v>928</v>
      </c>
      <c r="J145" s="18" t="s">
        <v>1163</v>
      </c>
    </row>
    <row r="146" ht="62" customHeight="true" spans="1:10">
      <c r="A146" s="18" t="s">
        <v>552</v>
      </c>
      <c r="B146" s="151"/>
      <c r="C146" s="18" t="s">
        <v>922</v>
      </c>
      <c r="D146" s="18" t="s">
        <v>936</v>
      </c>
      <c r="E146" s="18" t="s">
        <v>1164</v>
      </c>
      <c r="F146" s="18" t="s">
        <v>938</v>
      </c>
      <c r="G146" s="41" t="s">
        <v>939</v>
      </c>
      <c r="H146" s="18" t="s">
        <v>927</v>
      </c>
      <c r="I146" s="18" t="s">
        <v>928</v>
      </c>
      <c r="J146" s="18" t="s">
        <v>1165</v>
      </c>
    </row>
    <row r="147" ht="62" customHeight="true" spans="1:10">
      <c r="A147" s="18" t="s">
        <v>552</v>
      </c>
      <c r="B147" s="151"/>
      <c r="C147" s="18" t="s">
        <v>940</v>
      </c>
      <c r="D147" s="18" t="s">
        <v>941</v>
      </c>
      <c r="E147" s="18" t="s">
        <v>1070</v>
      </c>
      <c r="F147" s="18" t="s">
        <v>925</v>
      </c>
      <c r="G147" s="41" t="s">
        <v>935</v>
      </c>
      <c r="H147" s="18" t="s">
        <v>927</v>
      </c>
      <c r="I147" s="18" t="s">
        <v>928</v>
      </c>
      <c r="J147" s="18" t="s">
        <v>1166</v>
      </c>
    </row>
    <row r="148" ht="62" customHeight="true" spans="1:10">
      <c r="A148" s="18" t="s">
        <v>552</v>
      </c>
      <c r="B148" s="151"/>
      <c r="C148" s="18" t="s">
        <v>940</v>
      </c>
      <c r="D148" s="18" t="s">
        <v>941</v>
      </c>
      <c r="E148" s="18" t="s">
        <v>1167</v>
      </c>
      <c r="F148" s="18" t="s">
        <v>925</v>
      </c>
      <c r="G148" s="41" t="s">
        <v>926</v>
      </c>
      <c r="H148" s="18" t="s">
        <v>927</v>
      </c>
      <c r="I148" s="18" t="s">
        <v>928</v>
      </c>
      <c r="J148" s="18" t="s">
        <v>1168</v>
      </c>
    </row>
    <row r="149" ht="62" customHeight="true" spans="1:10">
      <c r="A149" s="18" t="s">
        <v>552</v>
      </c>
      <c r="B149" s="152"/>
      <c r="C149" s="18" t="s">
        <v>944</v>
      </c>
      <c r="D149" s="18" t="s">
        <v>945</v>
      </c>
      <c r="E149" s="18" t="s">
        <v>1169</v>
      </c>
      <c r="F149" s="18" t="s">
        <v>925</v>
      </c>
      <c r="G149" s="41" t="s">
        <v>963</v>
      </c>
      <c r="H149" s="18" t="s">
        <v>927</v>
      </c>
      <c r="I149" s="18" t="s">
        <v>928</v>
      </c>
      <c r="J149" s="18" t="s">
        <v>1170</v>
      </c>
    </row>
    <row r="150" ht="33.75" customHeight="true" spans="1:10">
      <c r="A150" s="18" t="s">
        <v>550</v>
      </c>
      <c r="B150" s="18" t="s">
        <v>1171</v>
      </c>
      <c r="C150" s="18" t="s">
        <v>922</v>
      </c>
      <c r="D150" s="18" t="s">
        <v>923</v>
      </c>
      <c r="E150" s="18" t="s">
        <v>1111</v>
      </c>
      <c r="F150" s="18" t="s">
        <v>925</v>
      </c>
      <c r="G150" s="41" t="s">
        <v>935</v>
      </c>
      <c r="H150" s="18" t="s">
        <v>927</v>
      </c>
      <c r="I150" s="18" t="s">
        <v>928</v>
      </c>
      <c r="J150" s="18" t="s">
        <v>1112</v>
      </c>
    </row>
    <row r="151" ht="33.75" customHeight="true" spans="1:10">
      <c r="A151" s="18" t="s">
        <v>550</v>
      </c>
      <c r="B151" s="18" t="s">
        <v>1171</v>
      </c>
      <c r="C151" s="18" t="s">
        <v>922</v>
      </c>
      <c r="D151" s="18" t="s">
        <v>933</v>
      </c>
      <c r="E151" s="18" t="s">
        <v>1172</v>
      </c>
      <c r="F151" s="18" t="s">
        <v>938</v>
      </c>
      <c r="G151" s="41" t="s">
        <v>939</v>
      </c>
      <c r="H151" s="18" t="s">
        <v>927</v>
      </c>
      <c r="I151" s="18" t="s">
        <v>928</v>
      </c>
      <c r="J151" s="18" t="s">
        <v>1172</v>
      </c>
    </row>
    <row r="152" ht="33.75" customHeight="true" spans="1:10">
      <c r="A152" s="18" t="s">
        <v>550</v>
      </c>
      <c r="B152" s="18" t="s">
        <v>1171</v>
      </c>
      <c r="C152" s="18" t="s">
        <v>922</v>
      </c>
      <c r="D152" s="18" t="s">
        <v>933</v>
      </c>
      <c r="E152" s="18" t="s">
        <v>1173</v>
      </c>
      <c r="F152" s="18" t="s">
        <v>925</v>
      </c>
      <c r="G152" s="41" t="s">
        <v>1174</v>
      </c>
      <c r="H152" s="18" t="s">
        <v>927</v>
      </c>
      <c r="I152" s="18" t="s">
        <v>928</v>
      </c>
      <c r="J152" s="18" t="s">
        <v>1175</v>
      </c>
    </row>
    <row r="153" ht="33.75" customHeight="true" spans="1:10">
      <c r="A153" s="18" t="s">
        <v>550</v>
      </c>
      <c r="B153" s="18" t="s">
        <v>1171</v>
      </c>
      <c r="C153" s="18" t="s">
        <v>922</v>
      </c>
      <c r="D153" s="18" t="s">
        <v>933</v>
      </c>
      <c r="E153" s="18" t="s">
        <v>1176</v>
      </c>
      <c r="F153" s="18" t="s">
        <v>925</v>
      </c>
      <c r="G153" s="41" t="s">
        <v>963</v>
      </c>
      <c r="H153" s="18" t="s">
        <v>927</v>
      </c>
      <c r="I153" s="18" t="s">
        <v>928</v>
      </c>
      <c r="J153" s="18" t="s">
        <v>1177</v>
      </c>
    </row>
    <row r="154" ht="33.75" customHeight="true" spans="1:10">
      <c r="A154" s="18" t="s">
        <v>550</v>
      </c>
      <c r="B154" s="18" t="s">
        <v>1171</v>
      </c>
      <c r="C154" s="18" t="s">
        <v>922</v>
      </c>
      <c r="D154" s="18" t="s">
        <v>936</v>
      </c>
      <c r="E154" s="18" t="s">
        <v>1178</v>
      </c>
      <c r="F154" s="18" t="s">
        <v>985</v>
      </c>
      <c r="G154" s="41" t="s">
        <v>986</v>
      </c>
      <c r="H154" s="18" t="s">
        <v>987</v>
      </c>
      <c r="I154" s="18" t="s">
        <v>928</v>
      </c>
      <c r="J154" s="18" t="s">
        <v>1179</v>
      </c>
    </row>
    <row r="155" ht="33.75" customHeight="true" spans="1:10">
      <c r="A155" s="18" t="s">
        <v>550</v>
      </c>
      <c r="B155" s="18" t="s">
        <v>1171</v>
      </c>
      <c r="C155" s="18" t="s">
        <v>940</v>
      </c>
      <c r="D155" s="18" t="s">
        <v>941</v>
      </c>
      <c r="E155" s="18" t="s">
        <v>1117</v>
      </c>
      <c r="F155" s="18" t="s">
        <v>925</v>
      </c>
      <c r="G155" s="41" t="s">
        <v>1180</v>
      </c>
      <c r="H155" s="18" t="s">
        <v>995</v>
      </c>
      <c r="I155" s="18" t="s">
        <v>928</v>
      </c>
      <c r="J155" s="18" t="s">
        <v>1119</v>
      </c>
    </row>
    <row r="156" ht="33.75" customHeight="true" spans="1:10">
      <c r="A156" s="18" t="s">
        <v>550</v>
      </c>
      <c r="B156" s="18" t="s">
        <v>1171</v>
      </c>
      <c r="C156" s="18" t="s">
        <v>944</v>
      </c>
      <c r="D156" s="18" t="s">
        <v>945</v>
      </c>
      <c r="E156" s="18" t="s">
        <v>1120</v>
      </c>
      <c r="F156" s="18" t="s">
        <v>925</v>
      </c>
      <c r="G156" s="41" t="s">
        <v>935</v>
      </c>
      <c r="H156" s="18" t="s">
        <v>927</v>
      </c>
      <c r="I156" s="18" t="s">
        <v>928</v>
      </c>
      <c r="J156" s="18" t="s">
        <v>1121</v>
      </c>
    </row>
    <row r="157" ht="33.75" customHeight="true" spans="1:10">
      <c r="A157" s="18" t="s">
        <v>608</v>
      </c>
      <c r="B157" s="18" t="s">
        <v>1181</v>
      </c>
      <c r="C157" s="18" t="s">
        <v>922</v>
      </c>
      <c r="D157" s="18" t="s">
        <v>923</v>
      </c>
      <c r="E157" s="18" t="s">
        <v>608</v>
      </c>
      <c r="F157" s="18" t="s">
        <v>1099</v>
      </c>
      <c r="G157" s="41" t="s">
        <v>939</v>
      </c>
      <c r="H157" s="18" t="s">
        <v>927</v>
      </c>
      <c r="I157" s="18" t="s">
        <v>928</v>
      </c>
      <c r="J157" s="18" t="s">
        <v>608</v>
      </c>
    </row>
    <row r="158" ht="33.75" customHeight="true" spans="1:10">
      <c r="A158" s="18" t="s">
        <v>608</v>
      </c>
      <c r="B158" s="18" t="s">
        <v>1181</v>
      </c>
      <c r="C158" s="18" t="s">
        <v>922</v>
      </c>
      <c r="D158" s="18" t="s">
        <v>923</v>
      </c>
      <c r="E158" s="18" t="s">
        <v>608</v>
      </c>
      <c r="F158" s="18" t="s">
        <v>938</v>
      </c>
      <c r="G158" s="41" t="s">
        <v>1182</v>
      </c>
      <c r="H158" s="18" t="s">
        <v>998</v>
      </c>
      <c r="I158" s="18" t="s">
        <v>928</v>
      </c>
      <c r="J158" s="18" t="s">
        <v>608</v>
      </c>
    </row>
    <row r="159" ht="33.75" customHeight="true" spans="1:10">
      <c r="A159" s="18" t="s">
        <v>608</v>
      </c>
      <c r="B159" s="18" t="s">
        <v>1181</v>
      </c>
      <c r="C159" s="18" t="s">
        <v>922</v>
      </c>
      <c r="D159" s="18" t="s">
        <v>923</v>
      </c>
      <c r="E159" s="18" t="s">
        <v>608</v>
      </c>
      <c r="F159" s="18" t="s">
        <v>925</v>
      </c>
      <c r="G159" s="41" t="s">
        <v>1182</v>
      </c>
      <c r="H159" s="18" t="s">
        <v>1183</v>
      </c>
      <c r="I159" s="18" t="s">
        <v>928</v>
      </c>
      <c r="J159" s="18" t="s">
        <v>608</v>
      </c>
    </row>
    <row r="160" ht="33.75" customHeight="true" spans="1:10">
      <c r="A160" s="18" t="s">
        <v>608</v>
      </c>
      <c r="B160" s="18" t="s">
        <v>1181</v>
      </c>
      <c r="C160" s="18" t="s">
        <v>922</v>
      </c>
      <c r="D160" s="18" t="s">
        <v>933</v>
      </c>
      <c r="E160" s="18" t="s">
        <v>608</v>
      </c>
      <c r="F160" s="18" t="s">
        <v>925</v>
      </c>
      <c r="G160" s="41" t="s">
        <v>1098</v>
      </c>
      <c r="H160" s="18" t="s">
        <v>927</v>
      </c>
      <c r="I160" s="18" t="s">
        <v>956</v>
      </c>
      <c r="J160" s="18" t="s">
        <v>608</v>
      </c>
    </row>
    <row r="161" ht="33.75" customHeight="true" spans="1:10">
      <c r="A161" s="18" t="s">
        <v>608</v>
      </c>
      <c r="B161" s="18" t="s">
        <v>1181</v>
      </c>
      <c r="C161" s="18" t="s">
        <v>922</v>
      </c>
      <c r="D161" s="18" t="s">
        <v>933</v>
      </c>
      <c r="E161" s="18" t="s">
        <v>608</v>
      </c>
      <c r="F161" s="18" t="s">
        <v>1099</v>
      </c>
      <c r="G161" s="41" t="s">
        <v>1184</v>
      </c>
      <c r="H161" s="18" t="s">
        <v>1185</v>
      </c>
      <c r="I161" s="18" t="s">
        <v>928</v>
      </c>
      <c r="J161" s="18" t="s">
        <v>608</v>
      </c>
    </row>
    <row r="162" ht="33.75" customHeight="true" spans="1:10">
      <c r="A162" s="18" t="s">
        <v>608</v>
      </c>
      <c r="B162" s="18" t="s">
        <v>1181</v>
      </c>
      <c r="C162" s="18" t="s">
        <v>940</v>
      </c>
      <c r="D162" s="18" t="s">
        <v>941</v>
      </c>
      <c r="E162" s="18" t="s">
        <v>608</v>
      </c>
      <c r="F162" s="18" t="s">
        <v>925</v>
      </c>
      <c r="G162" s="41" t="s">
        <v>935</v>
      </c>
      <c r="H162" s="18" t="s">
        <v>927</v>
      </c>
      <c r="I162" s="18" t="s">
        <v>956</v>
      </c>
      <c r="J162" s="18" t="s">
        <v>608</v>
      </c>
    </row>
    <row r="163" ht="33.75" customHeight="true" spans="1:10">
      <c r="A163" s="18" t="s">
        <v>608</v>
      </c>
      <c r="B163" s="18" t="s">
        <v>1181</v>
      </c>
      <c r="C163" s="18" t="s">
        <v>944</v>
      </c>
      <c r="D163" s="18" t="s">
        <v>945</v>
      </c>
      <c r="E163" s="18" t="s">
        <v>608</v>
      </c>
      <c r="F163" s="18" t="s">
        <v>925</v>
      </c>
      <c r="G163" s="41" t="s">
        <v>943</v>
      </c>
      <c r="H163" s="18" t="s">
        <v>927</v>
      </c>
      <c r="I163" s="18" t="s">
        <v>956</v>
      </c>
      <c r="J163" s="18" t="s">
        <v>608</v>
      </c>
    </row>
    <row r="164" ht="33.75" customHeight="true" spans="1:10">
      <c r="A164" s="18" t="s">
        <v>604</v>
      </c>
      <c r="B164" s="18" t="s">
        <v>1186</v>
      </c>
      <c r="C164" s="18" t="s">
        <v>922</v>
      </c>
      <c r="D164" s="18" t="s">
        <v>923</v>
      </c>
      <c r="E164" s="18" t="s">
        <v>1187</v>
      </c>
      <c r="F164" s="18" t="s">
        <v>938</v>
      </c>
      <c r="G164" s="41" t="s">
        <v>45</v>
      </c>
      <c r="H164" s="18" t="s">
        <v>977</v>
      </c>
      <c r="I164" s="18" t="s">
        <v>928</v>
      </c>
      <c r="J164" s="18" t="s">
        <v>1188</v>
      </c>
    </row>
    <row r="165" ht="33.75" customHeight="true" spans="1:10">
      <c r="A165" s="18" t="s">
        <v>604</v>
      </c>
      <c r="B165" s="18" t="s">
        <v>1186</v>
      </c>
      <c r="C165" s="18" t="s">
        <v>922</v>
      </c>
      <c r="D165" s="18" t="s">
        <v>936</v>
      </c>
      <c r="E165" s="18" t="s">
        <v>1189</v>
      </c>
      <c r="F165" s="18" t="s">
        <v>938</v>
      </c>
      <c r="G165" s="41" t="s">
        <v>1190</v>
      </c>
      <c r="H165" s="18" t="s">
        <v>1191</v>
      </c>
      <c r="I165" s="18" t="s">
        <v>956</v>
      </c>
      <c r="J165" s="18" t="s">
        <v>1192</v>
      </c>
    </row>
    <row r="166" ht="33.75" customHeight="true" spans="1:10">
      <c r="A166" s="18" t="s">
        <v>604</v>
      </c>
      <c r="B166" s="18" t="s">
        <v>1186</v>
      </c>
      <c r="C166" s="18" t="s">
        <v>940</v>
      </c>
      <c r="D166" s="18" t="s">
        <v>941</v>
      </c>
      <c r="E166" s="18" t="s">
        <v>1193</v>
      </c>
      <c r="F166" s="18" t="s">
        <v>1099</v>
      </c>
      <c r="G166" s="41" t="s">
        <v>1194</v>
      </c>
      <c r="H166" s="18" t="s">
        <v>1195</v>
      </c>
      <c r="I166" s="18" t="s">
        <v>956</v>
      </c>
      <c r="J166" s="18" t="s">
        <v>1196</v>
      </c>
    </row>
    <row r="167" ht="33.75" customHeight="true" spans="1:10">
      <c r="A167" s="18" t="s">
        <v>604</v>
      </c>
      <c r="B167" s="18" t="s">
        <v>1186</v>
      </c>
      <c r="C167" s="18" t="s">
        <v>944</v>
      </c>
      <c r="D167" s="18" t="s">
        <v>945</v>
      </c>
      <c r="E167" s="18" t="s">
        <v>1197</v>
      </c>
      <c r="F167" s="18" t="s">
        <v>1099</v>
      </c>
      <c r="G167" s="41" t="s">
        <v>935</v>
      </c>
      <c r="H167" s="18" t="s">
        <v>927</v>
      </c>
      <c r="I167" s="18" t="s">
        <v>956</v>
      </c>
      <c r="J167" s="18" t="s">
        <v>1198</v>
      </c>
    </row>
    <row r="168" ht="33.75" customHeight="true" spans="1:10">
      <c r="A168" s="18" t="s">
        <v>604</v>
      </c>
      <c r="B168" s="18" t="s">
        <v>1186</v>
      </c>
      <c r="C168" s="18" t="s">
        <v>944</v>
      </c>
      <c r="D168" s="18" t="s">
        <v>945</v>
      </c>
      <c r="E168" s="18" t="s">
        <v>1199</v>
      </c>
      <c r="F168" s="18" t="s">
        <v>1099</v>
      </c>
      <c r="G168" s="41" t="s">
        <v>1200</v>
      </c>
      <c r="H168" s="18" t="s">
        <v>1201</v>
      </c>
      <c r="I168" s="18" t="s">
        <v>956</v>
      </c>
      <c r="J168" s="18" t="s">
        <v>1202</v>
      </c>
    </row>
    <row r="169" ht="33.75" customHeight="true" spans="1:10">
      <c r="A169" s="18" t="s">
        <v>561</v>
      </c>
      <c r="B169" s="18" t="s">
        <v>1203</v>
      </c>
      <c r="C169" s="18" t="s">
        <v>922</v>
      </c>
      <c r="D169" s="18" t="s">
        <v>923</v>
      </c>
      <c r="E169" s="18" t="s">
        <v>1204</v>
      </c>
      <c r="F169" s="18" t="s">
        <v>938</v>
      </c>
      <c r="G169" s="41" t="s">
        <v>212</v>
      </c>
      <c r="H169" s="18" t="s">
        <v>952</v>
      </c>
      <c r="I169" s="18" t="s">
        <v>928</v>
      </c>
      <c r="J169" s="18" t="s">
        <v>1205</v>
      </c>
    </row>
    <row r="170" ht="33.75" customHeight="true" spans="1:10">
      <c r="A170" s="18" t="s">
        <v>561</v>
      </c>
      <c r="B170" s="18" t="s">
        <v>1203</v>
      </c>
      <c r="C170" s="18" t="s">
        <v>922</v>
      </c>
      <c r="D170" s="18" t="s">
        <v>923</v>
      </c>
      <c r="E170" s="18" t="s">
        <v>1206</v>
      </c>
      <c r="F170" s="18" t="s">
        <v>938</v>
      </c>
      <c r="G170" s="41" t="s">
        <v>51</v>
      </c>
      <c r="H170" s="18" t="s">
        <v>998</v>
      </c>
      <c r="I170" s="18" t="s">
        <v>928</v>
      </c>
      <c r="J170" s="18" t="s">
        <v>1207</v>
      </c>
    </row>
    <row r="171" ht="33.75" customHeight="true" spans="1:10">
      <c r="A171" s="18" t="s">
        <v>561</v>
      </c>
      <c r="B171" s="18" t="s">
        <v>1203</v>
      </c>
      <c r="C171" s="18" t="s">
        <v>922</v>
      </c>
      <c r="D171" s="18" t="s">
        <v>933</v>
      </c>
      <c r="E171" s="18" t="s">
        <v>1208</v>
      </c>
      <c r="F171" s="18" t="s">
        <v>938</v>
      </c>
      <c r="G171" s="41" t="s">
        <v>939</v>
      </c>
      <c r="H171" s="18" t="s">
        <v>927</v>
      </c>
      <c r="I171" s="18" t="s">
        <v>928</v>
      </c>
      <c r="J171" s="18" t="s">
        <v>1209</v>
      </c>
    </row>
    <row r="172" ht="33.75" customHeight="true" spans="1:10">
      <c r="A172" s="18" t="s">
        <v>561</v>
      </c>
      <c r="B172" s="18" t="s">
        <v>1203</v>
      </c>
      <c r="C172" s="18" t="s">
        <v>940</v>
      </c>
      <c r="D172" s="18" t="s">
        <v>941</v>
      </c>
      <c r="E172" s="18" t="s">
        <v>1210</v>
      </c>
      <c r="F172" s="18" t="s">
        <v>938</v>
      </c>
      <c r="G172" s="41" t="s">
        <v>939</v>
      </c>
      <c r="H172" s="18" t="s">
        <v>927</v>
      </c>
      <c r="I172" s="18" t="s">
        <v>928</v>
      </c>
      <c r="J172" s="18" t="s">
        <v>1211</v>
      </c>
    </row>
    <row r="173" ht="33.75" customHeight="true" spans="1:10">
      <c r="A173" s="18" t="s">
        <v>561</v>
      </c>
      <c r="B173" s="18" t="s">
        <v>1203</v>
      </c>
      <c r="C173" s="18" t="s">
        <v>944</v>
      </c>
      <c r="D173" s="18" t="s">
        <v>945</v>
      </c>
      <c r="E173" s="18" t="s">
        <v>1212</v>
      </c>
      <c r="F173" s="18" t="s">
        <v>925</v>
      </c>
      <c r="G173" s="41" t="s">
        <v>963</v>
      </c>
      <c r="H173" s="18" t="s">
        <v>927</v>
      </c>
      <c r="I173" s="18" t="s">
        <v>928</v>
      </c>
      <c r="J173" s="18" t="s">
        <v>1213</v>
      </c>
    </row>
    <row r="174" ht="33.75" customHeight="true" spans="1:10">
      <c r="A174" s="18" t="s">
        <v>583</v>
      </c>
      <c r="B174" s="18" t="s">
        <v>1214</v>
      </c>
      <c r="C174" s="18" t="s">
        <v>922</v>
      </c>
      <c r="D174" s="18" t="s">
        <v>923</v>
      </c>
      <c r="E174" s="18" t="s">
        <v>1215</v>
      </c>
      <c r="F174" s="18" t="s">
        <v>938</v>
      </c>
      <c r="G174" s="41" t="s">
        <v>1216</v>
      </c>
      <c r="H174" s="18" t="s">
        <v>952</v>
      </c>
      <c r="I174" s="18" t="s">
        <v>928</v>
      </c>
      <c r="J174" s="18" t="s">
        <v>929</v>
      </c>
    </row>
    <row r="175" ht="33.75" customHeight="true" spans="1:10">
      <c r="A175" s="18" t="s">
        <v>583</v>
      </c>
      <c r="B175" s="18" t="s">
        <v>1214</v>
      </c>
      <c r="C175" s="18" t="s">
        <v>922</v>
      </c>
      <c r="D175" s="18" t="s">
        <v>923</v>
      </c>
      <c r="E175" s="18" t="s">
        <v>1217</v>
      </c>
      <c r="F175" s="18" t="s">
        <v>938</v>
      </c>
      <c r="G175" s="41" t="s">
        <v>1218</v>
      </c>
      <c r="H175" s="18" t="s">
        <v>952</v>
      </c>
      <c r="I175" s="18" t="s">
        <v>928</v>
      </c>
      <c r="J175" s="18" t="s">
        <v>929</v>
      </c>
    </row>
    <row r="176" ht="33.75" customHeight="true" spans="1:10">
      <c r="A176" s="18" t="s">
        <v>583</v>
      </c>
      <c r="B176" s="18" t="s">
        <v>1214</v>
      </c>
      <c r="C176" s="18" t="s">
        <v>922</v>
      </c>
      <c r="D176" s="18" t="s">
        <v>923</v>
      </c>
      <c r="E176" s="18" t="s">
        <v>1219</v>
      </c>
      <c r="F176" s="18" t="s">
        <v>938</v>
      </c>
      <c r="G176" s="41" t="s">
        <v>1220</v>
      </c>
      <c r="H176" s="18" t="s">
        <v>952</v>
      </c>
      <c r="I176" s="18" t="s">
        <v>928</v>
      </c>
      <c r="J176" s="18" t="s">
        <v>929</v>
      </c>
    </row>
    <row r="177" ht="33.75" customHeight="true" spans="1:10">
      <c r="A177" s="18" t="s">
        <v>583</v>
      </c>
      <c r="B177" s="18" t="s">
        <v>1214</v>
      </c>
      <c r="C177" s="18" t="s">
        <v>922</v>
      </c>
      <c r="D177" s="18" t="s">
        <v>923</v>
      </c>
      <c r="E177" s="18" t="s">
        <v>1221</v>
      </c>
      <c r="F177" s="18" t="s">
        <v>938</v>
      </c>
      <c r="G177" s="41" t="s">
        <v>1222</v>
      </c>
      <c r="H177" s="18" t="s">
        <v>952</v>
      </c>
      <c r="I177" s="18" t="s">
        <v>928</v>
      </c>
      <c r="J177" s="18" t="s">
        <v>929</v>
      </c>
    </row>
    <row r="178" ht="33.75" customHeight="true" spans="1:10">
      <c r="A178" s="18" t="s">
        <v>583</v>
      </c>
      <c r="B178" s="18" t="s">
        <v>1214</v>
      </c>
      <c r="C178" s="18" t="s">
        <v>922</v>
      </c>
      <c r="D178" s="18" t="s">
        <v>933</v>
      </c>
      <c r="E178" s="18" t="s">
        <v>1223</v>
      </c>
      <c r="F178" s="18" t="s">
        <v>938</v>
      </c>
      <c r="G178" s="41" t="s">
        <v>939</v>
      </c>
      <c r="H178" s="18" t="s">
        <v>927</v>
      </c>
      <c r="I178" s="18" t="s">
        <v>928</v>
      </c>
      <c r="J178" s="18" t="s">
        <v>929</v>
      </c>
    </row>
    <row r="179" ht="33.75" customHeight="true" spans="1:10">
      <c r="A179" s="18" t="s">
        <v>583</v>
      </c>
      <c r="B179" s="18" t="s">
        <v>1214</v>
      </c>
      <c r="C179" s="18" t="s">
        <v>922</v>
      </c>
      <c r="D179" s="18" t="s">
        <v>933</v>
      </c>
      <c r="E179" s="18" t="s">
        <v>1005</v>
      </c>
      <c r="F179" s="18" t="s">
        <v>938</v>
      </c>
      <c r="G179" s="41" t="s">
        <v>939</v>
      </c>
      <c r="H179" s="18" t="s">
        <v>927</v>
      </c>
      <c r="I179" s="18" t="s">
        <v>928</v>
      </c>
      <c r="J179" s="18" t="s">
        <v>929</v>
      </c>
    </row>
    <row r="180" ht="33.75" customHeight="true" spans="1:10">
      <c r="A180" s="18" t="s">
        <v>583</v>
      </c>
      <c r="B180" s="18" t="s">
        <v>1214</v>
      </c>
      <c r="C180" s="18" t="s">
        <v>922</v>
      </c>
      <c r="D180" s="18" t="s">
        <v>936</v>
      </c>
      <c r="E180" s="18" t="s">
        <v>1003</v>
      </c>
      <c r="F180" s="18" t="s">
        <v>938</v>
      </c>
      <c r="G180" s="41" t="s">
        <v>939</v>
      </c>
      <c r="H180" s="18" t="s">
        <v>927</v>
      </c>
      <c r="I180" s="18" t="s">
        <v>928</v>
      </c>
      <c r="J180" s="18" t="s">
        <v>929</v>
      </c>
    </row>
    <row r="181" ht="33.75" customHeight="true" spans="1:10">
      <c r="A181" s="18" t="s">
        <v>583</v>
      </c>
      <c r="B181" s="18" t="s">
        <v>1214</v>
      </c>
      <c r="C181" s="18" t="s">
        <v>940</v>
      </c>
      <c r="D181" s="18" t="s">
        <v>941</v>
      </c>
      <c r="E181" s="18" t="s">
        <v>1224</v>
      </c>
      <c r="F181" s="18" t="s">
        <v>938</v>
      </c>
      <c r="G181" s="41" t="s">
        <v>1017</v>
      </c>
      <c r="H181" s="18"/>
      <c r="I181" s="18" t="s">
        <v>956</v>
      </c>
      <c r="J181" s="18" t="s">
        <v>929</v>
      </c>
    </row>
    <row r="182" ht="33.75" customHeight="true" spans="1:10">
      <c r="A182" s="18" t="s">
        <v>583</v>
      </c>
      <c r="B182" s="18" t="s">
        <v>1214</v>
      </c>
      <c r="C182" s="18" t="s">
        <v>940</v>
      </c>
      <c r="D182" s="18" t="s">
        <v>941</v>
      </c>
      <c r="E182" s="18" t="s">
        <v>1067</v>
      </c>
      <c r="F182" s="18" t="s">
        <v>938</v>
      </c>
      <c r="G182" s="41" t="s">
        <v>1017</v>
      </c>
      <c r="H182" s="18"/>
      <c r="I182" s="18" t="s">
        <v>956</v>
      </c>
      <c r="J182" s="18" t="s">
        <v>929</v>
      </c>
    </row>
    <row r="183" ht="33.75" customHeight="true" spans="1:10">
      <c r="A183" s="18" t="s">
        <v>583</v>
      </c>
      <c r="B183" s="18" t="s">
        <v>1214</v>
      </c>
      <c r="C183" s="18" t="s">
        <v>944</v>
      </c>
      <c r="D183" s="18" t="s">
        <v>945</v>
      </c>
      <c r="E183" s="18" t="s">
        <v>1225</v>
      </c>
      <c r="F183" s="18" t="s">
        <v>938</v>
      </c>
      <c r="G183" s="41" t="s">
        <v>943</v>
      </c>
      <c r="H183" s="18" t="s">
        <v>927</v>
      </c>
      <c r="I183" s="18" t="s">
        <v>928</v>
      </c>
      <c r="J183" s="18" t="s">
        <v>929</v>
      </c>
    </row>
    <row r="184" ht="33.75" customHeight="true" spans="1:10">
      <c r="A184" s="18" t="s">
        <v>556</v>
      </c>
      <c r="B184" s="18" t="s">
        <v>1226</v>
      </c>
      <c r="C184" s="18" t="s">
        <v>922</v>
      </c>
      <c r="D184" s="18" t="s">
        <v>923</v>
      </c>
      <c r="E184" s="18" t="s">
        <v>1160</v>
      </c>
      <c r="F184" s="18" t="s">
        <v>925</v>
      </c>
      <c r="G184" s="41" t="s">
        <v>52</v>
      </c>
      <c r="H184" s="18" t="s">
        <v>998</v>
      </c>
      <c r="I184" s="18" t="s">
        <v>928</v>
      </c>
      <c r="J184" s="18" t="s">
        <v>1227</v>
      </c>
    </row>
    <row r="185" ht="33.75" customHeight="true" spans="1:10">
      <c r="A185" s="18" t="s">
        <v>556</v>
      </c>
      <c r="B185" s="18" t="s">
        <v>1226</v>
      </c>
      <c r="C185" s="18" t="s">
        <v>922</v>
      </c>
      <c r="D185" s="18" t="s">
        <v>923</v>
      </c>
      <c r="E185" s="18" t="s">
        <v>1228</v>
      </c>
      <c r="F185" s="18" t="s">
        <v>985</v>
      </c>
      <c r="G185" s="41" t="s">
        <v>1229</v>
      </c>
      <c r="H185" s="18" t="s">
        <v>952</v>
      </c>
      <c r="I185" s="18" t="s">
        <v>928</v>
      </c>
      <c r="J185" s="18" t="s">
        <v>1230</v>
      </c>
    </row>
    <row r="186" ht="33.75" customHeight="true" spans="1:10">
      <c r="A186" s="18" t="s">
        <v>556</v>
      </c>
      <c r="B186" s="18" t="s">
        <v>1226</v>
      </c>
      <c r="C186" s="18" t="s">
        <v>922</v>
      </c>
      <c r="D186" s="18" t="s">
        <v>923</v>
      </c>
      <c r="E186" s="18" t="s">
        <v>1231</v>
      </c>
      <c r="F186" s="18" t="s">
        <v>985</v>
      </c>
      <c r="G186" s="41" t="s">
        <v>1232</v>
      </c>
      <c r="H186" s="18" t="s">
        <v>952</v>
      </c>
      <c r="I186" s="18" t="s">
        <v>928</v>
      </c>
      <c r="J186" s="18" t="s">
        <v>1230</v>
      </c>
    </row>
    <row r="187" ht="33.75" customHeight="true" spans="1:10">
      <c r="A187" s="18" t="s">
        <v>556</v>
      </c>
      <c r="B187" s="18" t="s">
        <v>1226</v>
      </c>
      <c r="C187" s="18" t="s">
        <v>922</v>
      </c>
      <c r="D187" s="18" t="s">
        <v>923</v>
      </c>
      <c r="E187" s="18" t="s">
        <v>1233</v>
      </c>
      <c r="F187" s="18" t="s">
        <v>985</v>
      </c>
      <c r="G187" s="41" t="s">
        <v>1234</v>
      </c>
      <c r="H187" s="18" t="s">
        <v>952</v>
      </c>
      <c r="I187" s="18" t="s">
        <v>928</v>
      </c>
      <c r="J187" s="18" t="s">
        <v>1230</v>
      </c>
    </row>
    <row r="188" ht="33.75" customHeight="true" spans="1:10">
      <c r="A188" s="18" t="s">
        <v>556</v>
      </c>
      <c r="B188" s="18" t="s">
        <v>1226</v>
      </c>
      <c r="C188" s="18" t="s">
        <v>922</v>
      </c>
      <c r="D188" s="18" t="s">
        <v>923</v>
      </c>
      <c r="E188" s="18" t="s">
        <v>1235</v>
      </c>
      <c r="F188" s="18" t="s">
        <v>985</v>
      </c>
      <c r="G188" s="41" t="s">
        <v>1236</v>
      </c>
      <c r="H188" s="18" t="s">
        <v>952</v>
      </c>
      <c r="I188" s="18" t="s">
        <v>928</v>
      </c>
      <c r="J188" s="18" t="s">
        <v>1230</v>
      </c>
    </row>
    <row r="189" ht="33.75" customHeight="true" spans="1:10">
      <c r="A189" s="18" t="s">
        <v>556</v>
      </c>
      <c r="B189" s="18" t="s">
        <v>1226</v>
      </c>
      <c r="C189" s="18" t="s">
        <v>922</v>
      </c>
      <c r="D189" s="18" t="s">
        <v>923</v>
      </c>
      <c r="E189" s="18" t="s">
        <v>1237</v>
      </c>
      <c r="F189" s="18" t="s">
        <v>985</v>
      </c>
      <c r="G189" s="41" t="s">
        <v>1238</v>
      </c>
      <c r="H189" s="18" t="s">
        <v>952</v>
      </c>
      <c r="I189" s="18" t="s">
        <v>928</v>
      </c>
      <c r="J189" s="18" t="s">
        <v>1239</v>
      </c>
    </row>
    <row r="190" ht="33.75" customHeight="true" spans="1:10">
      <c r="A190" s="18" t="s">
        <v>556</v>
      </c>
      <c r="B190" s="18" t="s">
        <v>1226</v>
      </c>
      <c r="C190" s="18" t="s">
        <v>922</v>
      </c>
      <c r="D190" s="18" t="s">
        <v>923</v>
      </c>
      <c r="E190" s="18" t="s">
        <v>1240</v>
      </c>
      <c r="F190" s="18" t="s">
        <v>985</v>
      </c>
      <c r="G190" s="41" t="s">
        <v>1241</v>
      </c>
      <c r="H190" s="18" t="s">
        <v>952</v>
      </c>
      <c r="I190" s="18" t="s">
        <v>928</v>
      </c>
      <c r="J190" s="18" t="s">
        <v>1239</v>
      </c>
    </row>
    <row r="191" ht="33.75" customHeight="true" spans="1:10">
      <c r="A191" s="18" t="s">
        <v>556</v>
      </c>
      <c r="B191" s="18" t="s">
        <v>1226</v>
      </c>
      <c r="C191" s="18" t="s">
        <v>922</v>
      </c>
      <c r="D191" s="18" t="s">
        <v>923</v>
      </c>
      <c r="E191" s="18" t="s">
        <v>1242</v>
      </c>
      <c r="F191" s="18" t="s">
        <v>938</v>
      </c>
      <c r="G191" s="41" t="s">
        <v>935</v>
      </c>
      <c r="H191" s="18" t="s">
        <v>998</v>
      </c>
      <c r="I191" s="18" t="s">
        <v>928</v>
      </c>
      <c r="J191" s="18" t="s">
        <v>1243</v>
      </c>
    </row>
    <row r="192" ht="33.75" customHeight="true" spans="1:10">
      <c r="A192" s="18" t="s">
        <v>556</v>
      </c>
      <c r="B192" s="18" t="s">
        <v>1226</v>
      </c>
      <c r="C192" s="18" t="s">
        <v>922</v>
      </c>
      <c r="D192" s="18" t="s">
        <v>933</v>
      </c>
      <c r="E192" s="18" t="s">
        <v>1244</v>
      </c>
      <c r="F192" s="18" t="s">
        <v>925</v>
      </c>
      <c r="G192" s="41" t="s">
        <v>939</v>
      </c>
      <c r="H192" s="18" t="s">
        <v>927</v>
      </c>
      <c r="I192" s="18" t="s">
        <v>928</v>
      </c>
      <c r="J192" s="18" t="s">
        <v>1245</v>
      </c>
    </row>
    <row r="193" ht="33.75" customHeight="true" spans="1:10">
      <c r="A193" s="18" t="s">
        <v>556</v>
      </c>
      <c r="B193" s="18" t="s">
        <v>1226</v>
      </c>
      <c r="C193" s="18" t="s">
        <v>922</v>
      </c>
      <c r="D193" s="18" t="s">
        <v>933</v>
      </c>
      <c r="E193" s="18" t="s">
        <v>1246</v>
      </c>
      <c r="F193" s="18" t="s">
        <v>925</v>
      </c>
      <c r="G193" s="41" t="s">
        <v>939</v>
      </c>
      <c r="H193" s="18" t="s">
        <v>927</v>
      </c>
      <c r="I193" s="18" t="s">
        <v>928</v>
      </c>
      <c r="J193" s="18" t="s">
        <v>1247</v>
      </c>
    </row>
    <row r="194" ht="33.75" customHeight="true" spans="1:10">
      <c r="A194" s="18" t="s">
        <v>556</v>
      </c>
      <c r="B194" s="18" t="s">
        <v>1226</v>
      </c>
      <c r="C194" s="18" t="s">
        <v>922</v>
      </c>
      <c r="D194" s="18" t="s">
        <v>936</v>
      </c>
      <c r="E194" s="18" t="s">
        <v>1003</v>
      </c>
      <c r="F194" s="18" t="s">
        <v>938</v>
      </c>
      <c r="G194" s="41" t="s">
        <v>939</v>
      </c>
      <c r="H194" s="18" t="s">
        <v>927</v>
      </c>
      <c r="I194" s="18" t="s">
        <v>928</v>
      </c>
      <c r="J194" s="18" t="s">
        <v>1248</v>
      </c>
    </row>
    <row r="195" ht="33.75" customHeight="true" spans="1:10">
      <c r="A195" s="18" t="s">
        <v>556</v>
      </c>
      <c r="B195" s="18" t="s">
        <v>1226</v>
      </c>
      <c r="C195" s="18" t="s">
        <v>940</v>
      </c>
      <c r="D195" s="18" t="s">
        <v>941</v>
      </c>
      <c r="E195" s="18" t="s">
        <v>1249</v>
      </c>
      <c r="F195" s="18" t="s">
        <v>925</v>
      </c>
      <c r="G195" s="41" t="s">
        <v>935</v>
      </c>
      <c r="H195" s="18" t="s">
        <v>927</v>
      </c>
      <c r="I195" s="18" t="s">
        <v>928</v>
      </c>
      <c r="J195" s="18" t="s">
        <v>1250</v>
      </c>
    </row>
    <row r="196" ht="33.75" customHeight="true" spans="1:10">
      <c r="A196" s="18" t="s">
        <v>556</v>
      </c>
      <c r="B196" s="18" t="s">
        <v>1226</v>
      </c>
      <c r="C196" s="18" t="s">
        <v>940</v>
      </c>
      <c r="D196" s="18" t="s">
        <v>941</v>
      </c>
      <c r="E196" s="18" t="s">
        <v>1251</v>
      </c>
      <c r="F196" s="18" t="s">
        <v>938</v>
      </c>
      <c r="G196" s="41" t="s">
        <v>1252</v>
      </c>
      <c r="H196" s="18"/>
      <c r="I196" s="18" t="s">
        <v>956</v>
      </c>
      <c r="J196" s="18" t="s">
        <v>1253</v>
      </c>
    </row>
    <row r="197" ht="33.75" customHeight="true" spans="1:10">
      <c r="A197" s="18" t="s">
        <v>556</v>
      </c>
      <c r="B197" s="18" t="s">
        <v>1226</v>
      </c>
      <c r="C197" s="18" t="s">
        <v>944</v>
      </c>
      <c r="D197" s="18" t="s">
        <v>945</v>
      </c>
      <c r="E197" s="18" t="s">
        <v>945</v>
      </c>
      <c r="F197" s="18" t="s">
        <v>925</v>
      </c>
      <c r="G197" s="41" t="s">
        <v>943</v>
      </c>
      <c r="H197" s="18" t="s">
        <v>927</v>
      </c>
      <c r="I197" s="18" t="s">
        <v>928</v>
      </c>
      <c r="J197" s="18" t="s">
        <v>1023</v>
      </c>
    </row>
    <row r="198" ht="33.75" customHeight="true" spans="1:10">
      <c r="A198" s="18" t="s">
        <v>617</v>
      </c>
      <c r="B198" s="18" t="s">
        <v>1254</v>
      </c>
      <c r="C198" s="18" t="s">
        <v>922</v>
      </c>
      <c r="D198" s="18" t="s">
        <v>923</v>
      </c>
      <c r="E198" s="18" t="s">
        <v>1206</v>
      </c>
      <c r="F198" s="18" t="s">
        <v>938</v>
      </c>
      <c r="G198" s="41" t="s">
        <v>48</v>
      </c>
      <c r="H198" s="18" t="s">
        <v>998</v>
      </c>
      <c r="I198" s="18" t="s">
        <v>928</v>
      </c>
      <c r="J198" s="18" t="s">
        <v>1207</v>
      </c>
    </row>
    <row r="199" ht="33.75" customHeight="true" spans="1:10">
      <c r="A199" s="18" t="s">
        <v>617</v>
      </c>
      <c r="B199" s="18" t="s">
        <v>1254</v>
      </c>
      <c r="C199" s="18" t="s">
        <v>922</v>
      </c>
      <c r="D199" s="18" t="s">
        <v>933</v>
      </c>
      <c r="E199" s="18" t="s">
        <v>1208</v>
      </c>
      <c r="F199" s="18" t="s">
        <v>938</v>
      </c>
      <c r="G199" s="41" t="s">
        <v>939</v>
      </c>
      <c r="H199" s="18" t="s">
        <v>927</v>
      </c>
      <c r="I199" s="18" t="s">
        <v>928</v>
      </c>
      <c r="J199" s="18" t="s">
        <v>1209</v>
      </c>
    </row>
    <row r="200" ht="33.75" customHeight="true" spans="1:10">
      <c r="A200" s="18" t="s">
        <v>617</v>
      </c>
      <c r="B200" s="18" t="s">
        <v>1254</v>
      </c>
      <c r="C200" s="18" t="s">
        <v>940</v>
      </c>
      <c r="D200" s="18" t="s">
        <v>941</v>
      </c>
      <c r="E200" s="18" t="s">
        <v>1210</v>
      </c>
      <c r="F200" s="18" t="s">
        <v>938</v>
      </c>
      <c r="G200" s="41" t="s">
        <v>939</v>
      </c>
      <c r="H200" s="18" t="s">
        <v>927</v>
      </c>
      <c r="I200" s="18" t="s">
        <v>928</v>
      </c>
      <c r="J200" s="18" t="s">
        <v>1211</v>
      </c>
    </row>
    <row r="201" ht="33.75" customHeight="true" spans="1:10">
      <c r="A201" s="18" t="s">
        <v>617</v>
      </c>
      <c r="B201" s="18" t="s">
        <v>1254</v>
      </c>
      <c r="C201" s="18" t="s">
        <v>940</v>
      </c>
      <c r="D201" s="18" t="s">
        <v>957</v>
      </c>
      <c r="E201" s="18" t="s">
        <v>1255</v>
      </c>
      <c r="F201" s="18" t="s">
        <v>1099</v>
      </c>
      <c r="G201" s="41" t="s">
        <v>963</v>
      </c>
      <c r="H201" s="18" t="s">
        <v>927</v>
      </c>
      <c r="I201" s="18" t="s">
        <v>928</v>
      </c>
      <c r="J201" s="18" t="s">
        <v>1256</v>
      </c>
    </row>
    <row r="202" ht="33.75" customHeight="true" spans="1:10">
      <c r="A202" s="18" t="s">
        <v>617</v>
      </c>
      <c r="B202" s="18" t="s">
        <v>1254</v>
      </c>
      <c r="C202" s="18" t="s">
        <v>944</v>
      </c>
      <c r="D202" s="18" t="s">
        <v>945</v>
      </c>
      <c r="E202" s="18" t="s">
        <v>1212</v>
      </c>
      <c r="F202" s="18" t="s">
        <v>925</v>
      </c>
      <c r="G202" s="41" t="s">
        <v>963</v>
      </c>
      <c r="H202" s="18" t="s">
        <v>927</v>
      </c>
      <c r="I202" s="18" t="s">
        <v>928</v>
      </c>
      <c r="J202" s="18" t="s">
        <v>1213</v>
      </c>
    </row>
    <row r="203" ht="33.75" customHeight="true" spans="1:10">
      <c r="A203" s="18" t="s">
        <v>614</v>
      </c>
      <c r="B203" s="18" t="s">
        <v>1257</v>
      </c>
      <c r="C203" s="18" t="s">
        <v>922</v>
      </c>
      <c r="D203" s="18" t="s">
        <v>923</v>
      </c>
      <c r="E203" s="18" t="s">
        <v>1258</v>
      </c>
      <c r="F203" s="18" t="s">
        <v>925</v>
      </c>
      <c r="G203" s="41" t="s">
        <v>48</v>
      </c>
      <c r="H203" s="18" t="s">
        <v>995</v>
      </c>
      <c r="I203" s="18" t="s">
        <v>928</v>
      </c>
      <c r="J203" s="18" t="s">
        <v>996</v>
      </c>
    </row>
    <row r="204" ht="33.75" customHeight="true" spans="1:10">
      <c r="A204" s="18" t="s">
        <v>614</v>
      </c>
      <c r="B204" s="18" t="s">
        <v>1257</v>
      </c>
      <c r="C204" s="18" t="s">
        <v>922</v>
      </c>
      <c r="D204" s="18" t="s">
        <v>923</v>
      </c>
      <c r="E204" s="18" t="s">
        <v>1259</v>
      </c>
      <c r="F204" s="18" t="s">
        <v>925</v>
      </c>
      <c r="G204" s="41" t="s">
        <v>1001</v>
      </c>
      <c r="H204" s="18" t="s">
        <v>932</v>
      </c>
      <c r="I204" s="18" t="s">
        <v>928</v>
      </c>
      <c r="J204" s="18" t="s">
        <v>1002</v>
      </c>
    </row>
    <row r="205" ht="33.75" customHeight="true" spans="1:10">
      <c r="A205" s="18" t="s">
        <v>614</v>
      </c>
      <c r="B205" s="18" t="s">
        <v>1257</v>
      </c>
      <c r="C205" s="18" t="s">
        <v>922</v>
      </c>
      <c r="D205" s="18" t="s">
        <v>933</v>
      </c>
      <c r="E205" s="18" t="s">
        <v>1003</v>
      </c>
      <c r="F205" s="18" t="s">
        <v>938</v>
      </c>
      <c r="G205" s="41" t="s">
        <v>939</v>
      </c>
      <c r="H205" s="18" t="s">
        <v>927</v>
      </c>
      <c r="I205" s="18" t="s">
        <v>928</v>
      </c>
      <c r="J205" s="18" t="s">
        <v>1260</v>
      </c>
    </row>
    <row r="206" ht="33.75" customHeight="true" spans="1:10">
      <c r="A206" s="18" t="s">
        <v>614</v>
      </c>
      <c r="B206" s="18" t="s">
        <v>1257</v>
      </c>
      <c r="C206" s="18" t="s">
        <v>922</v>
      </c>
      <c r="D206" s="18" t="s">
        <v>933</v>
      </c>
      <c r="E206" s="18" t="s">
        <v>1261</v>
      </c>
      <c r="F206" s="18" t="s">
        <v>925</v>
      </c>
      <c r="G206" s="41" t="s">
        <v>926</v>
      </c>
      <c r="H206" s="18" t="s">
        <v>927</v>
      </c>
      <c r="I206" s="18" t="s">
        <v>928</v>
      </c>
      <c r="J206" s="18" t="s">
        <v>1262</v>
      </c>
    </row>
    <row r="207" ht="33.75" customHeight="true" spans="1:10">
      <c r="A207" s="18" t="s">
        <v>614</v>
      </c>
      <c r="B207" s="18" t="s">
        <v>1257</v>
      </c>
      <c r="C207" s="18" t="s">
        <v>922</v>
      </c>
      <c r="D207" s="18" t="s">
        <v>933</v>
      </c>
      <c r="E207" s="18" t="s">
        <v>1263</v>
      </c>
      <c r="F207" s="18" t="s">
        <v>925</v>
      </c>
      <c r="G207" s="41" t="s">
        <v>1264</v>
      </c>
      <c r="H207" s="18" t="s">
        <v>1011</v>
      </c>
      <c r="I207" s="18" t="s">
        <v>928</v>
      </c>
      <c r="J207" s="18" t="s">
        <v>1265</v>
      </c>
    </row>
    <row r="208" ht="33.75" customHeight="true" spans="1:10">
      <c r="A208" s="18" t="s">
        <v>614</v>
      </c>
      <c r="B208" s="18" t="s">
        <v>1257</v>
      </c>
      <c r="C208" s="18" t="s">
        <v>940</v>
      </c>
      <c r="D208" s="18" t="s">
        <v>941</v>
      </c>
      <c r="E208" s="18" t="s">
        <v>1019</v>
      </c>
      <c r="F208" s="18" t="s">
        <v>925</v>
      </c>
      <c r="G208" s="41" t="s">
        <v>1020</v>
      </c>
      <c r="H208" s="18"/>
      <c r="I208" s="18" t="s">
        <v>956</v>
      </c>
      <c r="J208" s="18" t="s">
        <v>1266</v>
      </c>
    </row>
    <row r="209" ht="33.75" customHeight="true" spans="1:10">
      <c r="A209" s="18" t="s">
        <v>614</v>
      </c>
      <c r="B209" s="18" t="s">
        <v>1257</v>
      </c>
      <c r="C209" s="18" t="s">
        <v>940</v>
      </c>
      <c r="D209" s="18" t="s">
        <v>941</v>
      </c>
      <c r="E209" s="18" t="s">
        <v>1065</v>
      </c>
      <c r="F209" s="18" t="s">
        <v>925</v>
      </c>
      <c r="G209" s="41" t="s">
        <v>1066</v>
      </c>
      <c r="H209" s="18"/>
      <c r="I209" s="18" t="s">
        <v>956</v>
      </c>
      <c r="J209" s="18" t="s">
        <v>1267</v>
      </c>
    </row>
    <row r="210" ht="33.75" customHeight="true" spans="1:10">
      <c r="A210" s="18" t="s">
        <v>614</v>
      </c>
      <c r="B210" s="18" t="s">
        <v>1257</v>
      </c>
      <c r="C210" s="18" t="s">
        <v>940</v>
      </c>
      <c r="D210" s="18" t="s">
        <v>941</v>
      </c>
      <c r="E210" s="18" t="s">
        <v>1067</v>
      </c>
      <c r="F210" s="18" t="s">
        <v>925</v>
      </c>
      <c r="G210" s="41" t="s">
        <v>1017</v>
      </c>
      <c r="H210" s="18"/>
      <c r="I210" s="18" t="s">
        <v>956</v>
      </c>
      <c r="J210" s="18" t="s">
        <v>1268</v>
      </c>
    </row>
    <row r="211" ht="33.75" customHeight="true" spans="1:10">
      <c r="A211" s="18" t="s">
        <v>614</v>
      </c>
      <c r="B211" s="18" t="s">
        <v>1257</v>
      </c>
      <c r="C211" s="18" t="s">
        <v>944</v>
      </c>
      <c r="D211" s="18" t="s">
        <v>945</v>
      </c>
      <c r="E211" s="18" t="s">
        <v>1269</v>
      </c>
      <c r="F211" s="18" t="s">
        <v>925</v>
      </c>
      <c r="G211" s="41" t="s">
        <v>963</v>
      </c>
      <c r="H211" s="18" t="s">
        <v>927</v>
      </c>
      <c r="I211" s="18" t="s">
        <v>928</v>
      </c>
      <c r="J211" s="18" t="s">
        <v>1270</v>
      </c>
    </row>
    <row r="212" ht="33.75" customHeight="true" spans="1:10">
      <c r="A212" s="18" t="s">
        <v>575</v>
      </c>
      <c r="B212" s="18" t="s">
        <v>1271</v>
      </c>
      <c r="C212" s="18" t="s">
        <v>922</v>
      </c>
      <c r="D212" s="18" t="s">
        <v>923</v>
      </c>
      <c r="E212" s="18" t="s">
        <v>1215</v>
      </c>
      <c r="F212" s="18" t="s">
        <v>938</v>
      </c>
      <c r="G212" s="41" t="s">
        <v>1216</v>
      </c>
      <c r="H212" s="18" t="s">
        <v>952</v>
      </c>
      <c r="I212" s="18" t="s">
        <v>928</v>
      </c>
      <c r="J212" s="18" t="s">
        <v>929</v>
      </c>
    </row>
    <row r="213" ht="33.75" customHeight="true" spans="1:10">
      <c r="A213" s="18" t="s">
        <v>575</v>
      </c>
      <c r="B213" s="18" t="s">
        <v>1271</v>
      </c>
      <c r="C213" s="18" t="s">
        <v>922</v>
      </c>
      <c r="D213" s="18" t="s">
        <v>923</v>
      </c>
      <c r="E213" s="18" t="s">
        <v>1217</v>
      </c>
      <c r="F213" s="18" t="s">
        <v>938</v>
      </c>
      <c r="G213" s="41" t="s">
        <v>1218</v>
      </c>
      <c r="H213" s="18" t="s">
        <v>952</v>
      </c>
      <c r="I213" s="18" t="s">
        <v>928</v>
      </c>
      <c r="J213" s="18" t="s">
        <v>929</v>
      </c>
    </row>
    <row r="214" ht="33.75" customHeight="true" spans="1:10">
      <c r="A214" s="18" t="s">
        <v>575</v>
      </c>
      <c r="B214" s="18" t="s">
        <v>1271</v>
      </c>
      <c r="C214" s="18" t="s">
        <v>922</v>
      </c>
      <c r="D214" s="18" t="s">
        <v>923</v>
      </c>
      <c r="E214" s="18" t="s">
        <v>1219</v>
      </c>
      <c r="F214" s="18" t="s">
        <v>938</v>
      </c>
      <c r="G214" s="41" t="s">
        <v>1220</v>
      </c>
      <c r="H214" s="18" t="s">
        <v>952</v>
      </c>
      <c r="I214" s="18" t="s">
        <v>928</v>
      </c>
      <c r="J214" s="18" t="s">
        <v>929</v>
      </c>
    </row>
    <row r="215" ht="33.75" customHeight="true" spans="1:10">
      <c r="A215" s="18" t="s">
        <v>575</v>
      </c>
      <c r="B215" s="18" t="s">
        <v>1271</v>
      </c>
      <c r="C215" s="18" t="s">
        <v>922</v>
      </c>
      <c r="D215" s="18" t="s">
        <v>923</v>
      </c>
      <c r="E215" s="18" t="s">
        <v>1221</v>
      </c>
      <c r="F215" s="18" t="s">
        <v>938</v>
      </c>
      <c r="G215" s="41" t="s">
        <v>1222</v>
      </c>
      <c r="H215" s="18" t="s">
        <v>952</v>
      </c>
      <c r="I215" s="18" t="s">
        <v>928</v>
      </c>
      <c r="J215" s="18" t="s">
        <v>929</v>
      </c>
    </row>
    <row r="216" ht="33.75" customHeight="true" spans="1:10">
      <c r="A216" s="18" t="s">
        <v>575</v>
      </c>
      <c r="B216" s="18" t="s">
        <v>1271</v>
      </c>
      <c r="C216" s="18" t="s">
        <v>922</v>
      </c>
      <c r="D216" s="18" t="s">
        <v>933</v>
      </c>
      <c r="E216" s="18" t="s">
        <v>1005</v>
      </c>
      <c r="F216" s="18" t="s">
        <v>938</v>
      </c>
      <c r="G216" s="41" t="s">
        <v>939</v>
      </c>
      <c r="H216" s="18" t="s">
        <v>927</v>
      </c>
      <c r="I216" s="18" t="s">
        <v>928</v>
      </c>
      <c r="J216" s="18" t="s">
        <v>929</v>
      </c>
    </row>
    <row r="217" ht="33.75" customHeight="true" spans="1:10">
      <c r="A217" s="18" t="s">
        <v>575</v>
      </c>
      <c r="B217" s="18" t="s">
        <v>1271</v>
      </c>
      <c r="C217" s="18" t="s">
        <v>922</v>
      </c>
      <c r="D217" s="18" t="s">
        <v>936</v>
      </c>
      <c r="E217" s="18" t="s">
        <v>1003</v>
      </c>
      <c r="F217" s="18" t="s">
        <v>938</v>
      </c>
      <c r="G217" s="41" t="s">
        <v>939</v>
      </c>
      <c r="H217" s="18" t="s">
        <v>927</v>
      </c>
      <c r="I217" s="18" t="s">
        <v>928</v>
      </c>
      <c r="J217" s="18" t="s">
        <v>929</v>
      </c>
    </row>
    <row r="218" ht="33.75" customHeight="true" spans="1:10">
      <c r="A218" s="18" t="s">
        <v>575</v>
      </c>
      <c r="B218" s="18" t="s">
        <v>1271</v>
      </c>
      <c r="C218" s="18" t="s">
        <v>940</v>
      </c>
      <c r="D218" s="18" t="s">
        <v>941</v>
      </c>
      <c r="E218" s="18" t="s">
        <v>1224</v>
      </c>
      <c r="F218" s="18" t="s">
        <v>938</v>
      </c>
      <c r="G218" s="41" t="s">
        <v>1017</v>
      </c>
      <c r="H218" s="18"/>
      <c r="I218" s="18" t="s">
        <v>956</v>
      </c>
      <c r="J218" s="18" t="s">
        <v>929</v>
      </c>
    </row>
    <row r="219" ht="33.75" customHeight="true" spans="1:10">
      <c r="A219" s="18" t="s">
        <v>575</v>
      </c>
      <c r="B219" s="18" t="s">
        <v>1271</v>
      </c>
      <c r="C219" s="18" t="s">
        <v>940</v>
      </c>
      <c r="D219" s="18" t="s">
        <v>941</v>
      </c>
      <c r="E219" s="18" t="s">
        <v>1067</v>
      </c>
      <c r="F219" s="18" t="s">
        <v>938</v>
      </c>
      <c r="G219" s="41" t="s">
        <v>1017</v>
      </c>
      <c r="H219" s="18"/>
      <c r="I219" s="18" t="s">
        <v>956</v>
      </c>
      <c r="J219" s="18" t="s">
        <v>929</v>
      </c>
    </row>
    <row r="220" ht="33.75" customHeight="true" spans="1:10">
      <c r="A220" s="18" t="s">
        <v>575</v>
      </c>
      <c r="B220" s="18" t="s">
        <v>1271</v>
      </c>
      <c r="C220" s="18" t="s">
        <v>944</v>
      </c>
      <c r="D220" s="18" t="s">
        <v>945</v>
      </c>
      <c r="E220" s="18" t="s">
        <v>1225</v>
      </c>
      <c r="F220" s="18" t="s">
        <v>938</v>
      </c>
      <c r="G220" s="41" t="s">
        <v>943</v>
      </c>
      <c r="H220" s="18" t="s">
        <v>927</v>
      </c>
      <c r="I220" s="18" t="s">
        <v>928</v>
      </c>
      <c r="J220" s="18" t="s">
        <v>929</v>
      </c>
    </row>
    <row r="221" ht="33.75" customHeight="true" spans="1:10">
      <c r="A221" s="18" t="s">
        <v>588</v>
      </c>
      <c r="B221" s="18" t="s">
        <v>1272</v>
      </c>
      <c r="C221" s="18" t="s">
        <v>922</v>
      </c>
      <c r="D221" s="18" t="s">
        <v>923</v>
      </c>
      <c r="E221" s="18" t="s">
        <v>1273</v>
      </c>
      <c r="F221" s="18" t="s">
        <v>925</v>
      </c>
      <c r="G221" s="41" t="s">
        <v>1132</v>
      </c>
      <c r="H221" s="18" t="s">
        <v>952</v>
      </c>
      <c r="I221" s="18" t="s">
        <v>928</v>
      </c>
      <c r="J221" s="18" t="s">
        <v>1274</v>
      </c>
    </row>
    <row r="222" ht="33.75" customHeight="true" spans="1:10">
      <c r="A222" s="18" t="s">
        <v>588</v>
      </c>
      <c r="B222" s="18" t="s">
        <v>1272</v>
      </c>
      <c r="C222" s="18" t="s">
        <v>922</v>
      </c>
      <c r="D222" s="18" t="s">
        <v>923</v>
      </c>
      <c r="E222" s="18" t="s">
        <v>1275</v>
      </c>
      <c r="F222" s="18" t="s">
        <v>925</v>
      </c>
      <c r="G222" s="41" t="s">
        <v>44</v>
      </c>
      <c r="H222" s="18" t="s">
        <v>977</v>
      </c>
      <c r="I222" s="18" t="s">
        <v>928</v>
      </c>
      <c r="J222" s="18" t="s">
        <v>1276</v>
      </c>
    </row>
    <row r="223" ht="33.75" customHeight="true" spans="1:10">
      <c r="A223" s="18" t="s">
        <v>588</v>
      </c>
      <c r="B223" s="18" t="s">
        <v>1272</v>
      </c>
      <c r="C223" s="18" t="s">
        <v>922</v>
      </c>
      <c r="D223" s="18" t="s">
        <v>923</v>
      </c>
      <c r="E223" s="18" t="s">
        <v>1277</v>
      </c>
      <c r="F223" s="18" t="s">
        <v>925</v>
      </c>
      <c r="G223" s="41" t="s">
        <v>926</v>
      </c>
      <c r="H223" s="18" t="s">
        <v>927</v>
      </c>
      <c r="I223" s="18" t="s">
        <v>928</v>
      </c>
      <c r="J223" s="18" t="s">
        <v>1278</v>
      </c>
    </row>
    <row r="224" ht="33.75" customHeight="true" spans="1:10">
      <c r="A224" s="18" t="s">
        <v>588</v>
      </c>
      <c r="B224" s="18" t="s">
        <v>1272</v>
      </c>
      <c r="C224" s="18" t="s">
        <v>922</v>
      </c>
      <c r="D224" s="18" t="s">
        <v>923</v>
      </c>
      <c r="E224" s="18" t="s">
        <v>1279</v>
      </c>
      <c r="F224" s="18" t="s">
        <v>925</v>
      </c>
      <c r="G224" s="41" t="s">
        <v>1280</v>
      </c>
      <c r="H224" s="18" t="s">
        <v>952</v>
      </c>
      <c r="I224" s="18" t="s">
        <v>928</v>
      </c>
      <c r="J224" s="18" t="s">
        <v>1281</v>
      </c>
    </row>
    <row r="225" ht="33.75" customHeight="true" spans="1:10">
      <c r="A225" s="18" t="s">
        <v>588</v>
      </c>
      <c r="B225" s="18" t="s">
        <v>1272</v>
      </c>
      <c r="C225" s="18" t="s">
        <v>922</v>
      </c>
      <c r="D225" s="18" t="s">
        <v>933</v>
      </c>
      <c r="E225" s="18" t="s">
        <v>1282</v>
      </c>
      <c r="F225" s="18" t="s">
        <v>925</v>
      </c>
      <c r="G225" s="41" t="s">
        <v>939</v>
      </c>
      <c r="H225" s="18" t="s">
        <v>927</v>
      </c>
      <c r="I225" s="18" t="s">
        <v>928</v>
      </c>
      <c r="J225" s="18" t="s">
        <v>1283</v>
      </c>
    </row>
    <row r="226" ht="33.75" customHeight="true" spans="1:10">
      <c r="A226" s="18" t="s">
        <v>588</v>
      </c>
      <c r="B226" s="18" t="s">
        <v>1272</v>
      </c>
      <c r="C226" s="18" t="s">
        <v>940</v>
      </c>
      <c r="D226" s="18" t="s">
        <v>941</v>
      </c>
      <c r="E226" s="18" t="s">
        <v>1284</v>
      </c>
      <c r="F226" s="18" t="s">
        <v>938</v>
      </c>
      <c r="G226" s="41" t="s">
        <v>935</v>
      </c>
      <c r="H226" s="18" t="s">
        <v>927</v>
      </c>
      <c r="I226" s="18" t="s">
        <v>928</v>
      </c>
      <c r="J226" s="18" t="s">
        <v>1285</v>
      </c>
    </row>
    <row r="227" ht="33.75" customHeight="true" spans="1:10">
      <c r="A227" s="18" t="s">
        <v>588</v>
      </c>
      <c r="B227" s="18" t="s">
        <v>1272</v>
      </c>
      <c r="C227" s="18" t="s">
        <v>944</v>
      </c>
      <c r="D227" s="18" t="s">
        <v>945</v>
      </c>
      <c r="E227" s="18" t="s">
        <v>1286</v>
      </c>
      <c r="F227" s="18" t="s">
        <v>938</v>
      </c>
      <c r="G227" s="41" t="s">
        <v>935</v>
      </c>
      <c r="H227" s="18" t="s">
        <v>927</v>
      </c>
      <c r="I227" s="18" t="s">
        <v>928</v>
      </c>
      <c r="J227" s="18" t="s">
        <v>1287</v>
      </c>
    </row>
    <row r="228" ht="33.75" customHeight="true" spans="1:10">
      <c r="A228" s="70" t="s">
        <v>67</v>
      </c>
      <c r="B228" s="18"/>
      <c r="C228" s="18"/>
      <c r="D228" s="18"/>
      <c r="E228" s="18"/>
      <c r="F228" s="18"/>
      <c r="G228" s="18"/>
      <c r="H228" s="18"/>
      <c r="I228" s="18"/>
      <c r="J228" s="18"/>
    </row>
    <row r="229" ht="33.75" customHeight="true" spans="1:10">
      <c r="A229" s="18" t="s">
        <v>658</v>
      </c>
      <c r="B229" s="18" t="s">
        <v>1288</v>
      </c>
      <c r="C229" s="18" t="s">
        <v>922</v>
      </c>
      <c r="D229" s="18" t="s">
        <v>923</v>
      </c>
      <c r="E229" s="18" t="s">
        <v>1289</v>
      </c>
      <c r="F229" s="18" t="s">
        <v>925</v>
      </c>
      <c r="G229" s="41" t="s">
        <v>1182</v>
      </c>
      <c r="H229" s="18" t="s">
        <v>977</v>
      </c>
      <c r="I229" s="18" t="s">
        <v>928</v>
      </c>
      <c r="J229" s="18" t="s">
        <v>1290</v>
      </c>
    </row>
    <row r="230" ht="33.75" customHeight="true" spans="1:10">
      <c r="A230" s="18" t="s">
        <v>658</v>
      </c>
      <c r="B230" s="18" t="s">
        <v>1288</v>
      </c>
      <c r="C230" s="18" t="s">
        <v>922</v>
      </c>
      <c r="D230" s="18" t="s">
        <v>923</v>
      </c>
      <c r="E230" s="18" t="s">
        <v>1275</v>
      </c>
      <c r="F230" s="18" t="s">
        <v>925</v>
      </c>
      <c r="G230" s="41" t="s">
        <v>1182</v>
      </c>
      <c r="H230" s="18" t="s">
        <v>977</v>
      </c>
      <c r="I230" s="18" t="s">
        <v>928</v>
      </c>
      <c r="J230" s="18" t="s">
        <v>1275</v>
      </c>
    </row>
    <row r="231" ht="33.75" customHeight="true" spans="1:10">
      <c r="A231" s="18" t="s">
        <v>658</v>
      </c>
      <c r="B231" s="18" t="s">
        <v>1288</v>
      </c>
      <c r="C231" s="18" t="s">
        <v>922</v>
      </c>
      <c r="D231" s="18" t="s">
        <v>933</v>
      </c>
      <c r="E231" s="18" t="s">
        <v>1291</v>
      </c>
      <c r="F231" s="18" t="s">
        <v>925</v>
      </c>
      <c r="G231" s="41" t="s">
        <v>1292</v>
      </c>
      <c r="H231" s="18" t="s">
        <v>927</v>
      </c>
      <c r="I231" s="18" t="s">
        <v>928</v>
      </c>
      <c r="J231" s="18" t="s">
        <v>1291</v>
      </c>
    </row>
    <row r="232" ht="33.75" customHeight="true" spans="1:10">
      <c r="A232" s="18" t="s">
        <v>658</v>
      </c>
      <c r="B232" s="18" t="s">
        <v>1288</v>
      </c>
      <c r="C232" s="18" t="s">
        <v>940</v>
      </c>
      <c r="D232" s="18" t="s">
        <v>957</v>
      </c>
      <c r="E232" s="18" t="s">
        <v>1293</v>
      </c>
      <c r="F232" s="18" t="s">
        <v>938</v>
      </c>
      <c r="G232" s="41" t="s">
        <v>1294</v>
      </c>
      <c r="H232" s="18" t="s">
        <v>1294</v>
      </c>
      <c r="I232" s="18" t="s">
        <v>956</v>
      </c>
      <c r="J232" s="18" t="s">
        <v>1295</v>
      </c>
    </row>
    <row r="233" ht="33.75" customHeight="true" spans="1:10">
      <c r="A233" s="18" t="s">
        <v>658</v>
      </c>
      <c r="B233" s="18" t="s">
        <v>1288</v>
      </c>
      <c r="C233" s="18" t="s">
        <v>944</v>
      </c>
      <c r="D233" s="18" t="s">
        <v>945</v>
      </c>
      <c r="E233" s="18" t="s">
        <v>945</v>
      </c>
      <c r="F233" s="18" t="s">
        <v>925</v>
      </c>
      <c r="G233" s="41" t="s">
        <v>963</v>
      </c>
      <c r="H233" s="18" t="s">
        <v>927</v>
      </c>
      <c r="I233" s="18" t="s">
        <v>928</v>
      </c>
      <c r="J233" s="18" t="s">
        <v>1296</v>
      </c>
    </row>
    <row r="234" ht="33.75" customHeight="true" spans="1:10">
      <c r="A234" s="18" t="s">
        <v>656</v>
      </c>
      <c r="B234" s="18" t="s">
        <v>656</v>
      </c>
      <c r="C234" s="18" t="s">
        <v>922</v>
      </c>
      <c r="D234" s="18" t="s">
        <v>923</v>
      </c>
      <c r="E234" s="18" t="s">
        <v>656</v>
      </c>
      <c r="F234" s="18" t="s">
        <v>938</v>
      </c>
      <c r="G234" s="41" t="s">
        <v>656</v>
      </c>
      <c r="H234" s="18" t="s">
        <v>927</v>
      </c>
      <c r="I234" s="18" t="s">
        <v>928</v>
      </c>
      <c r="J234" s="18" t="s">
        <v>656</v>
      </c>
    </row>
    <row r="235" ht="33.75" customHeight="true" spans="1:10">
      <c r="A235" s="18" t="s">
        <v>656</v>
      </c>
      <c r="B235" s="18" t="s">
        <v>656</v>
      </c>
      <c r="C235" s="18" t="s">
        <v>922</v>
      </c>
      <c r="D235" s="18" t="s">
        <v>923</v>
      </c>
      <c r="E235" s="18" t="s">
        <v>656</v>
      </c>
      <c r="F235" s="18" t="s">
        <v>938</v>
      </c>
      <c r="G235" s="41" t="s">
        <v>656</v>
      </c>
      <c r="H235" s="18" t="s">
        <v>927</v>
      </c>
      <c r="I235" s="18" t="s">
        <v>928</v>
      </c>
      <c r="J235" s="18" t="s">
        <v>656</v>
      </c>
    </row>
    <row r="236" ht="33.75" customHeight="true" spans="1:10">
      <c r="A236" s="18" t="s">
        <v>656</v>
      </c>
      <c r="B236" s="18" t="s">
        <v>656</v>
      </c>
      <c r="C236" s="18" t="s">
        <v>922</v>
      </c>
      <c r="D236" s="18" t="s">
        <v>933</v>
      </c>
      <c r="E236" s="18" t="s">
        <v>656</v>
      </c>
      <c r="F236" s="18" t="s">
        <v>938</v>
      </c>
      <c r="G236" s="41" t="s">
        <v>656</v>
      </c>
      <c r="H236" s="18" t="s">
        <v>927</v>
      </c>
      <c r="I236" s="18" t="s">
        <v>928</v>
      </c>
      <c r="J236" s="18" t="s">
        <v>656</v>
      </c>
    </row>
    <row r="237" ht="33.75" customHeight="true" spans="1:10">
      <c r="A237" s="18" t="s">
        <v>656</v>
      </c>
      <c r="B237" s="18" t="s">
        <v>656</v>
      </c>
      <c r="C237" s="18" t="s">
        <v>940</v>
      </c>
      <c r="D237" s="18" t="s">
        <v>957</v>
      </c>
      <c r="E237" s="18" t="s">
        <v>656</v>
      </c>
      <c r="F237" s="18" t="s">
        <v>938</v>
      </c>
      <c r="G237" s="41" t="s">
        <v>656</v>
      </c>
      <c r="H237" s="18" t="s">
        <v>927</v>
      </c>
      <c r="I237" s="18" t="s">
        <v>928</v>
      </c>
      <c r="J237" s="18" t="s">
        <v>656</v>
      </c>
    </row>
    <row r="238" ht="33.75" customHeight="true" spans="1:10">
      <c r="A238" s="18" t="s">
        <v>656</v>
      </c>
      <c r="B238" s="18" t="s">
        <v>656</v>
      </c>
      <c r="C238" s="18" t="s">
        <v>944</v>
      </c>
      <c r="D238" s="18" t="s">
        <v>945</v>
      </c>
      <c r="E238" s="18" t="s">
        <v>656</v>
      </c>
      <c r="F238" s="18" t="s">
        <v>938</v>
      </c>
      <c r="G238" s="41" t="s">
        <v>656</v>
      </c>
      <c r="H238" s="18" t="s">
        <v>927</v>
      </c>
      <c r="I238" s="18" t="s">
        <v>928</v>
      </c>
      <c r="J238" s="18" t="s">
        <v>656</v>
      </c>
    </row>
    <row r="239" ht="33.75" customHeight="true" spans="1:10">
      <c r="A239" s="70" t="s">
        <v>69</v>
      </c>
      <c r="B239" s="18"/>
      <c r="C239" s="18"/>
      <c r="D239" s="18"/>
      <c r="E239" s="18"/>
      <c r="F239" s="18"/>
      <c r="G239" s="18"/>
      <c r="H239" s="18"/>
      <c r="I239" s="18"/>
      <c r="J239" s="18"/>
    </row>
    <row r="240" ht="46" customHeight="true" spans="1:10">
      <c r="A240" s="18" t="s">
        <v>707</v>
      </c>
      <c r="B240" s="18" t="s">
        <v>1297</v>
      </c>
      <c r="C240" s="18" t="s">
        <v>922</v>
      </c>
      <c r="D240" s="18" t="s">
        <v>923</v>
      </c>
      <c r="E240" s="18" t="s">
        <v>1298</v>
      </c>
      <c r="F240" s="18" t="s">
        <v>1099</v>
      </c>
      <c r="G240" s="41" t="s">
        <v>45</v>
      </c>
      <c r="H240" s="18" t="s">
        <v>1036</v>
      </c>
      <c r="I240" s="18" t="s">
        <v>928</v>
      </c>
      <c r="J240" s="18" t="s">
        <v>1299</v>
      </c>
    </row>
    <row r="241" ht="46" customHeight="true" spans="1:10">
      <c r="A241" s="18" t="s">
        <v>707</v>
      </c>
      <c r="B241" s="18" t="s">
        <v>1297</v>
      </c>
      <c r="C241" s="18" t="s">
        <v>922</v>
      </c>
      <c r="D241" s="18" t="s">
        <v>933</v>
      </c>
      <c r="E241" s="18" t="s">
        <v>1300</v>
      </c>
      <c r="F241" s="18" t="s">
        <v>1099</v>
      </c>
      <c r="G241" s="41" t="s">
        <v>926</v>
      </c>
      <c r="H241" s="18" t="s">
        <v>927</v>
      </c>
      <c r="I241" s="18" t="s">
        <v>928</v>
      </c>
      <c r="J241" s="18" t="s">
        <v>1301</v>
      </c>
    </row>
    <row r="242" ht="46" customHeight="true" spans="1:10">
      <c r="A242" s="18" t="s">
        <v>707</v>
      </c>
      <c r="B242" s="18" t="s">
        <v>1297</v>
      </c>
      <c r="C242" s="18" t="s">
        <v>922</v>
      </c>
      <c r="D242" s="18" t="s">
        <v>933</v>
      </c>
      <c r="E242" s="18" t="s">
        <v>1302</v>
      </c>
      <c r="F242" s="18" t="s">
        <v>1303</v>
      </c>
      <c r="G242" s="41" t="s">
        <v>45</v>
      </c>
      <c r="H242" s="18" t="s">
        <v>927</v>
      </c>
      <c r="I242" s="18" t="s">
        <v>928</v>
      </c>
      <c r="J242" s="18" t="s">
        <v>1302</v>
      </c>
    </row>
    <row r="243" ht="46" customHeight="true" spans="1:10">
      <c r="A243" s="18" t="s">
        <v>707</v>
      </c>
      <c r="B243" s="18" t="s">
        <v>1297</v>
      </c>
      <c r="C243" s="18" t="s">
        <v>940</v>
      </c>
      <c r="D243" s="18" t="s">
        <v>941</v>
      </c>
      <c r="E243" s="18" t="s">
        <v>1304</v>
      </c>
      <c r="F243" s="18" t="s">
        <v>938</v>
      </c>
      <c r="G243" s="41" t="s">
        <v>1305</v>
      </c>
      <c r="H243" s="18" t="s">
        <v>927</v>
      </c>
      <c r="I243" s="18" t="s">
        <v>956</v>
      </c>
      <c r="J243" s="18" t="s">
        <v>1304</v>
      </c>
    </row>
    <row r="244" ht="46" customHeight="true" spans="1:10">
      <c r="A244" s="18" t="s">
        <v>707</v>
      </c>
      <c r="B244" s="18" t="s">
        <v>1297</v>
      </c>
      <c r="C244" s="18" t="s">
        <v>944</v>
      </c>
      <c r="D244" s="18" t="s">
        <v>945</v>
      </c>
      <c r="E244" s="18" t="s">
        <v>1306</v>
      </c>
      <c r="F244" s="18" t="s">
        <v>938</v>
      </c>
      <c r="G244" s="41" t="s">
        <v>963</v>
      </c>
      <c r="H244" s="18" t="s">
        <v>927</v>
      </c>
      <c r="I244" s="18" t="s">
        <v>928</v>
      </c>
      <c r="J244" s="18" t="s">
        <v>1306</v>
      </c>
    </row>
    <row r="245" ht="33.75" customHeight="true" spans="1:10">
      <c r="A245" s="18" t="s">
        <v>666</v>
      </c>
      <c r="B245" s="18" t="s">
        <v>1307</v>
      </c>
      <c r="C245" s="18" t="s">
        <v>922</v>
      </c>
      <c r="D245" s="18" t="s">
        <v>923</v>
      </c>
      <c r="E245" s="18" t="s">
        <v>1308</v>
      </c>
      <c r="F245" s="18" t="s">
        <v>925</v>
      </c>
      <c r="G245" s="41" t="s">
        <v>1309</v>
      </c>
      <c r="H245" s="18" t="s">
        <v>1158</v>
      </c>
      <c r="I245" s="18" t="s">
        <v>928</v>
      </c>
      <c r="J245" s="18" t="s">
        <v>1310</v>
      </c>
    </row>
    <row r="246" ht="33.75" customHeight="true" spans="1:10">
      <c r="A246" s="18" t="s">
        <v>666</v>
      </c>
      <c r="B246" s="18" t="s">
        <v>1307</v>
      </c>
      <c r="C246" s="18" t="s">
        <v>922</v>
      </c>
      <c r="D246" s="18" t="s">
        <v>923</v>
      </c>
      <c r="E246" s="18" t="s">
        <v>1311</v>
      </c>
      <c r="F246" s="18" t="s">
        <v>938</v>
      </c>
      <c r="G246" s="41" t="s">
        <v>48</v>
      </c>
      <c r="H246" s="18" t="s">
        <v>1312</v>
      </c>
      <c r="I246" s="18" t="s">
        <v>928</v>
      </c>
      <c r="J246" s="18" t="s">
        <v>1313</v>
      </c>
    </row>
    <row r="247" ht="33.75" customHeight="true" spans="1:10">
      <c r="A247" s="18" t="s">
        <v>666</v>
      </c>
      <c r="B247" s="18" t="s">
        <v>1307</v>
      </c>
      <c r="C247" s="18" t="s">
        <v>940</v>
      </c>
      <c r="D247" s="18" t="s">
        <v>941</v>
      </c>
      <c r="E247" s="18" t="s">
        <v>1314</v>
      </c>
      <c r="F247" s="18" t="s">
        <v>938</v>
      </c>
      <c r="G247" s="41" t="s">
        <v>1315</v>
      </c>
      <c r="H247" s="18"/>
      <c r="I247" s="18" t="s">
        <v>956</v>
      </c>
      <c r="J247" s="18" t="s">
        <v>1316</v>
      </c>
    </row>
    <row r="248" ht="33.75" customHeight="true" spans="1:10">
      <c r="A248" s="18" t="s">
        <v>666</v>
      </c>
      <c r="B248" s="18" t="s">
        <v>1307</v>
      </c>
      <c r="C248" s="18" t="s">
        <v>944</v>
      </c>
      <c r="D248" s="18" t="s">
        <v>945</v>
      </c>
      <c r="E248" s="18" t="s">
        <v>1317</v>
      </c>
      <c r="F248" s="18" t="s">
        <v>925</v>
      </c>
      <c r="G248" s="41" t="s">
        <v>935</v>
      </c>
      <c r="H248" s="18" t="s">
        <v>927</v>
      </c>
      <c r="I248" s="18" t="s">
        <v>928</v>
      </c>
      <c r="J248" s="18" t="s">
        <v>1318</v>
      </c>
    </row>
    <row r="249" ht="33.75" customHeight="true" spans="1:10">
      <c r="A249" s="18" t="s">
        <v>666</v>
      </c>
      <c r="B249" s="18" t="s">
        <v>1307</v>
      </c>
      <c r="C249" s="18" t="s">
        <v>944</v>
      </c>
      <c r="D249" s="18" t="s">
        <v>945</v>
      </c>
      <c r="E249" s="18" t="s">
        <v>1319</v>
      </c>
      <c r="F249" s="18" t="s">
        <v>925</v>
      </c>
      <c r="G249" s="41" t="s">
        <v>935</v>
      </c>
      <c r="H249" s="18" t="s">
        <v>927</v>
      </c>
      <c r="I249" s="18" t="s">
        <v>928</v>
      </c>
      <c r="J249" s="18" t="s">
        <v>1320</v>
      </c>
    </row>
    <row r="250" ht="33.75" customHeight="true" spans="1:10">
      <c r="A250" s="70" t="s">
        <v>71</v>
      </c>
      <c r="B250" s="18"/>
      <c r="C250" s="18"/>
      <c r="D250" s="18"/>
      <c r="E250" s="18"/>
      <c r="F250" s="18"/>
      <c r="G250" s="18"/>
      <c r="H250" s="18"/>
      <c r="I250" s="18"/>
      <c r="J250" s="18"/>
    </row>
    <row r="251" ht="33.75" customHeight="true" spans="1:10">
      <c r="A251" s="18" t="s">
        <v>724</v>
      </c>
      <c r="B251" s="18" t="s">
        <v>1321</v>
      </c>
      <c r="C251" s="18" t="s">
        <v>922</v>
      </c>
      <c r="D251" s="18" t="s">
        <v>923</v>
      </c>
      <c r="E251" s="18" t="s">
        <v>1322</v>
      </c>
      <c r="F251" s="18" t="s">
        <v>938</v>
      </c>
      <c r="G251" s="41" t="s">
        <v>986</v>
      </c>
      <c r="H251" s="18" t="s">
        <v>927</v>
      </c>
      <c r="I251" s="18" t="s">
        <v>928</v>
      </c>
      <c r="J251" s="18" t="s">
        <v>1322</v>
      </c>
    </row>
    <row r="252" ht="33.75" customHeight="true" spans="1:10">
      <c r="A252" s="18" t="s">
        <v>724</v>
      </c>
      <c r="B252" s="18" t="s">
        <v>1321</v>
      </c>
      <c r="C252" s="18" t="s">
        <v>922</v>
      </c>
      <c r="D252" s="18" t="s">
        <v>936</v>
      </c>
      <c r="E252" s="18" t="s">
        <v>1034</v>
      </c>
      <c r="F252" s="18" t="s">
        <v>985</v>
      </c>
      <c r="G252" s="41" t="s">
        <v>1323</v>
      </c>
      <c r="H252" s="18"/>
      <c r="I252" s="18" t="s">
        <v>956</v>
      </c>
      <c r="J252" s="18" t="s">
        <v>1324</v>
      </c>
    </row>
    <row r="253" ht="33.75" customHeight="true" spans="1:10">
      <c r="A253" s="18" t="s">
        <v>724</v>
      </c>
      <c r="B253" s="18" t="s">
        <v>1321</v>
      </c>
      <c r="C253" s="18" t="s">
        <v>940</v>
      </c>
      <c r="D253" s="18" t="s">
        <v>941</v>
      </c>
      <c r="E253" s="18" t="s">
        <v>1325</v>
      </c>
      <c r="F253" s="18" t="s">
        <v>985</v>
      </c>
      <c r="G253" s="41" t="s">
        <v>986</v>
      </c>
      <c r="H253" s="18"/>
      <c r="I253" s="18" t="s">
        <v>956</v>
      </c>
      <c r="J253" s="18" t="s">
        <v>1326</v>
      </c>
    </row>
    <row r="254" ht="33.75" customHeight="true" spans="1:10">
      <c r="A254" s="18" t="s">
        <v>724</v>
      </c>
      <c r="B254" s="18" t="s">
        <v>1321</v>
      </c>
      <c r="C254" s="18" t="s">
        <v>944</v>
      </c>
      <c r="D254" s="18" t="s">
        <v>945</v>
      </c>
      <c r="E254" s="18" t="s">
        <v>945</v>
      </c>
      <c r="F254" s="18" t="s">
        <v>925</v>
      </c>
      <c r="G254" s="41" t="s">
        <v>48</v>
      </c>
      <c r="H254" s="18" t="s">
        <v>927</v>
      </c>
      <c r="I254" s="18" t="s">
        <v>928</v>
      </c>
      <c r="J254" s="18" t="s">
        <v>945</v>
      </c>
    </row>
    <row r="255" ht="33.75" customHeight="true" spans="1:10">
      <c r="A255" s="18" t="s">
        <v>724</v>
      </c>
      <c r="B255" s="18" t="s">
        <v>1321</v>
      </c>
      <c r="C255" s="18" t="s">
        <v>944</v>
      </c>
      <c r="D255" s="18" t="s">
        <v>945</v>
      </c>
      <c r="E255" s="18" t="s">
        <v>1327</v>
      </c>
      <c r="F255" s="18" t="s">
        <v>985</v>
      </c>
      <c r="G255" s="41" t="s">
        <v>48</v>
      </c>
      <c r="H255" s="18" t="s">
        <v>927</v>
      </c>
      <c r="I255" s="18" t="s">
        <v>928</v>
      </c>
      <c r="J255" s="18" t="s">
        <v>1327</v>
      </c>
    </row>
    <row r="256" ht="33.75" customHeight="true" spans="1:10">
      <c r="A256" s="70" t="s">
        <v>73</v>
      </c>
      <c r="B256" s="18"/>
      <c r="C256" s="18"/>
      <c r="D256" s="18"/>
      <c r="E256" s="18"/>
      <c r="F256" s="18"/>
      <c r="G256" s="18"/>
      <c r="H256" s="18"/>
      <c r="I256" s="18"/>
      <c r="J256" s="18"/>
    </row>
    <row r="257" ht="33.75" customHeight="true" spans="1:10">
      <c r="A257" s="18" t="s">
        <v>736</v>
      </c>
      <c r="B257" s="18" t="s">
        <v>1328</v>
      </c>
      <c r="C257" s="18" t="s">
        <v>922</v>
      </c>
      <c r="D257" s="18" t="s">
        <v>923</v>
      </c>
      <c r="E257" s="18" t="s">
        <v>1329</v>
      </c>
      <c r="F257" s="18" t="s">
        <v>925</v>
      </c>
      <c r="G257" s="41" t="s">
        <v>1182</v>
      </c>
      <c r="H257" s="18" t="s">
        <v>1330</v>
      </c>
      <c r="I257" s="18" t="s">
        <v>928</v>
      </c>
      <c r="J257" s="18" t="s">
        <v>1331</v>
      </c>
    </row>
    <row r="258" ht="33.75" customHeight="true" spans="1:10">
      <c r="A258" s="18" t="s">
        <v>736</v>
      </c>
      <c r="B258" s="18" t="s">
        <v>1328</v>
      </c>
      <c r="C258" s="18" t="s">
        <v>922</v>
      </c>
      <c r="D258" s="18" t="s">
        <v>933</v>
      </c>
      <c r="E258" s="18" t="s">
        <v>1332</v>
      </c>
      <c r="F258" s="18" t="s">
        <v>925</v>
      </c>
      <c r="G258" s="41" t="s">
        <v>939</v>
      </c>
      <c r="H258" s="18" t="s">
        <v>927</v>
      </c>
      <c r="I258" s="18" t="s">
        <v>928</v>
      </c>
      <c r="J258" s="18" t="s">
        <v>1333</v>
      </c>
    </row>
    <row r="259" ht="33.75" customHeight="true" spans="1:10">
      <c r="A259" s="18" t="s">
        <v>736</v>
      </c>
      <c r="B259" s="18" t="s">
        <v>1328</v>
      </c>
      <c r="C259" s="18" t="s">
        <v>922</v>
      </c>
      <c r="D259" s="18" t="s">
        <v>933</v>
      </c>
      <c r="E259" s="18" t="s">
        <v>1334</v>
      </c>
      <c r="F259" s="18" t="s">
        <v>925</v>
      </c>
      <c r="G259" s="41" t="s">
        <v>939</v>
      </c>
      <c r="H259" s="18" t="s">
        <v>927</v>
      </c>
      <c r="I259" s="18" t="s">
        <v>928</v>
      </c>
      <c r="J259" s="18" t="s">
        <v>1335</v>
      </c>
    </row>
    <row r="260" ht="33.75" customHeight="true" spans="1:10">
      <c r="A260" s="18" t="s">
        <v>736</v>
      </c>
      <c r="B260" s="18" t="s">
        <v>1328</v>
      </c>
      <c r="C260" s="18" t="s">
        <v>940</v>
      </c>
      <c r="D260" s="18" t="s">
        <v>953</v>
      </c>
      <c r="E260" s="18" t="s">
        <v>1336</v>
      </c>
      <c r="F260" s="18" t="s">
        <v>985</v>
      </c>
      <c r="G260" s="41" t="s">
        <v>1337</v>
      </c>
      <c r="H260" s="18" t="s">
        <v>1338</v>
      </c>
      <c r="I260" s="18" t="s">
        <v>928</v>
      </c>
      <c r="J260" s="18" t="s">
        <v>1339</v>
      </c>
    </row>
    <row r="261" ht="33.75" customHeight="true" spans="1:10">
      <c r="A261" s="18" t="s">
        <v>736</v>
      </c>
      <c r="B261" s="18" t="s">
        <v>1328</v>
      </c>
      <c r="C261" s="18" t="s">
        <v>944</v>
      </c>
      <c r="D261" s="18" t="s">
        <v>945</v>
      </c>
      <c r="E261" s="18" t="s">
        <v>1340</v>
      </c>
      <c r="F261" s="18" t="s">
        <v>925</v>
      </c>
      <c r="G261" s="41" t="s">
        <v>926</v>
      </c>
      <c r="H261" s="18" t="s">
        <v>927</v>
      </c>
      <c r="I261" s="18" t="s">
        <v>928</v>
      </c>
      <c r="J261" s="18" t="s">
        <v>1341</v>
      </c>
    </row>
    <row r="262" ht="33.75" customHeight="true" spans="1:10">
      <c r="A262" s="18" t="s">
        <v>734</v>
      </c>
      <c r="B262" s="18" t="s">
        <v>1342</v>
      </c>
      <c r="C262" s="18" t="s">
        <v>922</v>
      </c>
      <c r="D262" s="18" t="s">
        <v>923</v>
      </c>
      <c r="E262" s="18" t="s">
        <v>1343</v>
      </c>
      <c r="F262" s="18" t="s">
        <v>938</v>
      </c>
      <c r="G262" s="41" t="s">
        <v>939</v>
      </c>
      <c r="H262" s="18" t="s">
        <v>927</v>
      </c>
      <c r="I262" s="18" t="s">
        <v>928</v>
      </c>
      <c r="J262" s="18" t="s">
        <v>1342</v>
      </c>
    </row>
    <row r="263" ht="33.75" customHeight="true" spans="1:10">
      <c r="A263" s="18" t="s">
        <v>734</v>
      </c>
      <c r="B263" s="18" t="s">
        <v>1342</v>
      </c>
      <c r="C263" s="18" t="s">
        <v>922</v>
      </c>
      <c r="D263" s="18" t="s">
        <v>923</v>
      </c>
      <c r="E263" s="18" t="s">
        <v>1344</v>
      </c>
      <c r="F263" s="18" t="s">
        <v>925</v>
      </c>
      <c r="G263" s="41" t="s">
        <v>1345</v>
      </c>
      <c r="H263" s="18" t="s">
        <v>1346</v>
      </c>
      <c r="I263" s="18" t="s">
        <v>928</v>
      </c>
      <c r="J263" s="18" t="s">
        <v>1342</v>
      </c>
    </row>
    <row r="264" ht="33.75" customHeight="true" spans="1:10">
      <c r="A264" s="18" t="s">
        <v>734</v>
      </c>
      <c r="B264" s="18" t="s">
        <v>1342</v>
      </c>
      <c r="C264" s="18" t="s">
        <v>922</v>
      </c>
      <c r="D264" s="18" t="s">
        <v>933</v>
      </c>
      <c r="E264" s="18" t="s">
        <v>1347</v>
      </c>
      <c r="F264" s="18" t="s">
        <v>925</v>
      </c>
      <c r="G264" s="41" t="s">
        <v>1348</v>
      </c>
      <c r="H264" s="18" t="s">
        <v>927</v>
      </c>
      <c r="I264" s="18" t="s">
        <v>928</v>
      </c>
      <c r="J264" s="18" t="s">
        <v>1342</v>
      </c>
    </row>
    <row r="265" ht="33.75" customHeight="true" spans="1:10">
      <c r="A265" s="18" t="s">
        <v>734</v>
      </c>
      <c r="B265" s="18" t="s">
        <v>1342</v>
      </c>
      <c r="C265" s="18" t="s">
        <v>922</v>
      </c>
      <c r="D265" s="18" t="s">
        <v>933</v>
      </c>
      <c r="E265" s="18" t="s">
        <v>1349</v>
      </c>
      <c r="F265" s="18" t="s">
        <v>938</v>
      </c>
      <c r="G265" s="41" t="s">
        <v>939</v>
      </c>
      <c r="H265" s="18" t="s">
        <v>927</v>
      </c>
      <c r="I265" s="18" t="s">
        <v>928</v>
      </c>
      <c r="J265" s="18" t="s">
        <v>1342</v>
      </c>
    </row>
    <row r="266" ht="33.75" customHeight="true" spans="1:10">
      <c r="A266" s="18" t="s">
        <v>734</v>
      </c>
      <c r="B266" s="18" t="s">
        <v>1342</v>
      </c>
      <c r="C266" s="18" t="s">
        <v>922</v>
      </c>
      <c r="D266" s="18" t="s">
        <v>933</v>
      </c>
      <c r="E266" s="18" t="s">
        <v>1350</v>
      </c>
      <c r="F266" s="18" t="s">
        <v>938</v>
      </c>
      <c r="G266" s="41" t="s">
        <v>939</v>
      </c>
      <c r="H266" s="18" t="s">
        <v>927</v>
      </c>
      <c r="I266" s="18" t="s">
        <v>928</v>
      </c>
      <c r="J266" s="18" t="s">
        <v>1342</v>
      </c>
    </row>
    <row r="267" ht="33.75" customHeight="true" spans="1:10">
      <c r="A267" s="18" t="s">
        <v>734</v>
      </c>
      <c r="B267" s="18" t="s">
        <v>1342</v>
      </c>
      <c r="C267" s="18" t="s">
        <v>922</v>
      </c>
      <c r="D267" s="18" t="s">
        <v>933</v>
      </c>
      <c r="E267" s="18" t="s">
        <v>1351</v>
      </c>
      <c r="F267" s="18" t="s">
        <v>925</v>
      </c>
      <c r="G267" s="41" t="s">
        <v>54</v>
      </c>
      <c r="H267" s="18" t="s">
        <v>927</v>
      </c>
      <c r="I267" s="18" t="s">
        <v>928</v>
      </c>
      <c r="J267" s="18" t="s">
        <v>1342</v>
      </c>
    </row>
    <row r="268" ht="33.75" customHeight="true" spans="1:10">
      <c r="A268" s="18" t="s">
        <v>734</v>
      </c>
      <c r="B268" s="18" t="s">
        <v>1342</v>
      </c>
      <c r="C268" s="18" t="s">
        <v>940</v>
      </c>
      <c r="D268" s="18" t="s">
        <v>941</v>
      </c>
      <c r="E268" s="18" t="s">
        <v>1352</v>
      </c>
      <c r="F268" s="18" t="s">
        <v>938</v>
      </c>
      <c r="G268" s="41" t="s">
        <v>939</v>
      </c>
      <c r="H268" s="18" t="s">
        <v>927</v>
      </c>
      <c r="I268" s="18" t="s">
        <v>928</v>
      </c>
      <c r="J268" s="18" t="s">
        <v>1342</v>
      </c>
    </row>
    <row r="269" ht="33.75" customHeight="true" spans="1:10">
      <c r="A269" s="18" t="s">
        <v>734</v>
      </c>
      <c r="B269" s="18" t="s">
        <v>1342</v>
      </c>
      <c r="C269" s="18" t="s">
        <v>940</v>
      </c>
      <c r="D269" s="18" t="s">
        <v>941</v>
      </c>
      <c r="E269" s="18" t="s">
        <v>1353</v>
      </c>
      <c r="F269" s="18" t="s">
        <v>938</v>
      </c>
      <c r="G269" s="41" t="s">
        <v>939</v>
      </c>
      <c r="H269" s="18" t="s">
        <v>927</v>
      </c>
      <c r="I269" s="18" t="s">
        <v>928</v>
      </c>
      <c r="J269" s="18" t="s">
        <v>1342</v>
      </c>
    </row>
    <row r="270" ht="33.75" customHeight="true" spans="1:10">
      <c r="A270" s="18" t="s">
        <v>734</v>
      </c>
      <c r="B270" s="18" t="s">
        <v>1342</v>
      </c>
      <c r="C270" s="18" t="s">
        <v>944</v>
      </c>
      <c r="D270" s="18" t="s">
        <v>945</v>
      </c>
      <c r="E270" s="18" t="s">
        <v>1342</v>
      </c>
      <c r="F270" s="18" t="s">
        <v>938</v>
      </c>
      <c r="G270" s="41" t="s">
        <v>1342</v>
      </c>
      <c r="H270" s="18" t="s">
        <v>927</v>
      </c>
      <c r="I270" s="18" t="s">
        <v>928</v>
      </c>
      <c r="J270" s="18" t="s">
        <v>1342</v>
      </c>
    </row>
    <row r="271" ht="33.75" customHeight="true" spans="1:10">
      <c r="A271" s="18" t="s">
        <v>726</v>
      </c>
      <c r="B271" s="18" t="s">
        <v>1354</v>
      </c>
      <c r="C271" s="18" t="s">
        <v>922</v>
      </c>
      <c r="D271" s="18" t="s">
        <v>923</v>
      </c>
      <c r="E271" s="18" t="s">
        <v>1355</v>
      </c>
      <c r="F271" s="18" t="s">
        <v>1099</v>
      </c>
      <c r="G271" s="41" t="s">
        <v>1356</v>
      </c>
      <c r="H271" s="18" t="s">
        <v>1357</v>
      </c>
      <c r="I271" s="18" t="s">
        <v>928</v>
      </c>
      <c r="J271" s="18" t="s">
        <v>1358</v>
      </c>
    </row>
    <row r="272" ht="33.75" customHeight="true" spans="1:10">
      <c r="A272" s="18" t="s">
        <v>726</v>
      </c>
      <c r="B272" s="18" t="s">
        <v>1354</v>
      </c>
      <c r="C272" s="18" t="s">
        <v>922</v>
      </c>
      <c r="D272" s="18" t="s">
        <v>923</v>
      </c>
      <c r="E272" s="18" t="s">
        <v>1359</v>
      </c>
      <c r="F272" s="18" t="s">
        <v>925</v>
      </c>
      <c r="G272" s="41" t="s">
        <v>1345</v>
      </c>
      <c r="H272" s="18" t="s">
        <v>1346</v>
      </c>
      <c r="I272" s="18" t="s">
        <v>928</v>
      </c>
      <c r="J272" s="18" t="s">
        <v>1360</v>
      </c>
    </row>
    <row r="273" ht="33.75" customHeight="true" spans="1:10">
      <c r="A273" s="18" t="s">
        <v>726</v>
      </c>
      <c r="B273" s="18" t="s">
        <v>1354</v>
      </c>
      <c r="C273" s="18" t="s">
        <v>922</v>
      </c>
      <c r="D273" s="18" t="s">
        <v>933</v>
      </c>
      <c r="E273" s="18" t="s">
        <v>1350</v>
      </c>
      <c r="F273" s="18" t="s">
        <v>938</v>
      </c>
      <c r="G273" s="41" t="s">
        <v>939</v>
      </c>
      <c r="H273" s="18" t="s">
        <v>927</v>
      </c>
      <c r="I273" s="18" t="s">
        <v>928</v>
      </c>
      <c r="J273" s="18" t="s">
        <v>1361</v>
      </c>
    </row>
    <row r="274" ht="33.75" customHeight="true" spans="1:10">
      <c r="A274" s="18" t="s">
        <v>726</v>
      </c>
      <c r="B274" s="18" t="s">
        <v>1354</v>
      </c>
      <c r="C274" s="18" t="s">
        <v>922</v>
      </c>
      <c r="D274" s="18" t="s">
        <v>933</v>
      </c>
      <c r="E274" s="18" t="s">
        <v>1351</v>
      </c>
      <c r="F274" s="18" t="s">
        <v>925</v>
      </c>
      <c r="G274" s="41" t="s">
        <v>54</v>
      </c>
      <c r="H274" s="18" t="s">
        <v>995</v>
      </c>
      <c r="I274" s="18" t="s">
        <v>928</v>
      </c>
      <c r="J274" s="18" t="s">
        <v>1362</v>
      </c>
    </row>
    <row r="275" ht="33.75" customHeight="true" spans="1:10">
      <c r="A275" s="18" t="s">
        <v>726</v>
      </c>
      <c r="B275" s="18" t="s">
        <v>1354</v>
      </c>
      <c r="C275" s="18" t="s">
        <v>922</v>
      </c>
      <c r="D275" s="18" t="s">
        <v>933</v>
      </c>
      <c r="E275" s="18" t="s">
        <v>1347</v>
      </c>
      <c r="F275" s="18" t="s">
        <v>925</v>
      </c>
      <c r="G275" s="41" t="s">
        <v>1348</v>
      </c>
      <c r="H275" s="18" t="s">
        <v>927</v>
      </c>
      <c r="I275" s="18" t="s">
        <v>928</v>
      </c>
      <c r="J275" s="18" t="s">
        <v>1363</v>
      </c>
    </row>
    <row r="276" ht="33.75" customHeight="true" spans="1:10">
      <c r="A276" s="18" t="s">
        <v>726</v>
      </c>
      <c r="B276" s="18" t="s">
        <v>1354</v>
      </c>
      <c r="C276" s="18" t="s">
        <v>922</v>
      </c>
      <c r="D276" s="18" t="s">
        <v>933</v>
      </c>
      <c r="E276" s="18" t="s">
        <v>1349</v>
      </c>
      <c r="F276" s="18" t="s">
        <v>938</v>
      </c>
      <c r="G276" s="41" t="s">
        <v>939</v>
      </c>
      <c r="H276" s="18" t="s">
        <v>927</v>
      </c>
      <c r="I276" s="18" t="s">
        <v>928</v>
      </c>
      <c r="J276" s="18" t="s">
        <v>1364</v>
      </c>
    </row>
    <row r="277" ht="33.75" customHeight="true" spans="1:10">
      <c r="A277" s="18" t="s">
        <v>726</v>
      </c>
      <c r="B277" s="18" t="s">
        <v>1354</v>
      </c>
      <c r="C277" s="18" t="s">
        <v>940</v>
      </c>
      <c r="D277" s="18" t="s">
        <v>941</v>
      </c>
      <c r="E277" s="18" t="s">
        <v>1352</v>
      </c>
      <c r="F277" s="18" t="s">
        <v>938</v>
      </c>
      <c r="G277" s="41" t="s">
        <v>939</v>
      </c>
      <c r="H277" s="18" t="s">
        <v>927</v>
      </c>
      <c r="I277" s="18" t="s">
        <v>928</v>
      </c>
      <c r="J277" s="18" t="s">
        <v>1365</v>
      </c>
    </row>
    <row r="278" ht="33.75" customHeight="true" spans="1:10">
      <c r="A278" s="18" t="s">
        <v>726</v>
      </c>
      <c r="B278" s="18" t="s">
        <v>1354</v>
      </c>
      <c r="C278" s="18" t="s">
        <v>940</v>
      </c>
      <c r="D278" s="18" t="s">
        <v>941</v>
      </c>
      <c r="E278" s="18" t="s">
        <v>1353</v>
      </c>
      <c r="F278" s="18" t="s">
        <v>938</v>
      </c>
      <c r="G278" s="41" t="s">
        <v>939</v>
      </c>
      <c r="H278" s="18" t="s">
        <v>927</v>
      </c>
      <c r="I278" s="18" t="s">
        <v>928</v>
      </c>
      <c r="J278" s="18" t="s">
        <v>1366</v>
      </c>
    </row>
    <row r="279" ht="33.75" customHeight="true" spans="1:10">
      <c r="A279" s="18" t="s">
        <v>726</v>
      </c>
      <c r="B279" s="18" t="s">
        <v>1354</v>
      </c>
      <c r="C279" s="18" t="s">
        <v>944</v>
      </c>
      <c r="D279" s="18" t="s">
        <v>945</v>
      </c>
      <c r="E279" s="18" t="s">
        <v>1367</v>
      </c>
      <c r="F279" s="18" t="s">
        <v>925</v>
      </c>
      <c r="G279" s="41" t="s">
        <v>926</v>
      </c>
      <c r="H279" s="18" t="s">
        <v>927</v>
      </c>
      <c r="I279" s="18" t="s">
        <v>928</v>
      </c>
      <c r="J279" s="18" t="s">
        <v>1368</v>
      </c>
    </row>
    <row r="280" ht="33.75" customHeight="true" spans="1:10">
      <c r="A280" s="70" t="s">
        <v>75</v>
      </c>
      <c r="B280" s="18"/>
      <c r="C280" s="18"/>
      <c r="D280" s="18"/>
      <c r="E280" s="18"/>
      <c r="F280" s="18"/>
      <c r="G280" s="18"/>
      <c r="H280" s="18"/>
      <c r="I280" s="18"/>
      <c r="J280" s="18"/>
    </row>
    <row r="281" ht="33.75" customHeight="true" spans="1:10">
      <c r="A281" s="18" t="s">
        <v>796</v>
      </c>
      <c r="B281" s="18" t="s">
        <v>1369</v>
      </c>
      <c r="C281" s="18" t="s">
        <v>922</v>
      </c>
      <c r="D281" s="18" t="s">
        <v>923</v>
      </c>
      <c r="E281" s="18" t="s">
        <v>1370</v>
      </c>
      <c r="F281" s="18" t="s">
        <v>925</v>
      </c>
      <c r="G281" s="41" t="s">
        <v>47</v>
      </c>
      <c r="H281" s="18" t="s">
        <v>977</v>
      </c>
      <c r="I281" s="18" t="s">
        <v>928</v>
      </c>
      <c r="J281" s="18" t="s">
        <v>1371</v>
      </c>
    </row>
    <row r="282" ht="33.75" customHeight="true" spans="1:10">
      <c r="A282" s="18" t="s">
        <v>796</v>
      </c>
      <c r="B282" s="18" t="s">
        <v>1369</v>
      </c>
      <c r="C282" s="18" t="s">
        <v>922</v>
      </c>
      <c r="D282" s="18" t="s">
        <v>923</v>
      </c>
      <c r="E282" s="18" t="s">
        <v>1372</v>
      </c>
      <c r="F282" s="18" t="s">
        <v>925</v>
      </c>
      <c r="G282" s="41" t="s">
        <v>1373</v>
      </c>
      <c r="H282" s="18" t="s">
        <v>1357</v>
      </c>
      <c r="I282" s="18" t="s">
        <v>928</v>
      </c>
      <c r="J282" s="18" t="s">
        <v>1374</v>
      </c>
    </row>
    <row r="283" ht="33.75" customHeight="true" spans="1:10">
      <c r="A283" s="18" t="s">
        <v>796</v>
      </c>
      <c r="B283" s="18" t="s">
        <v>1369</v>
      </c>
      <c r="C283" s="18" t="s">
        <v>922</v>
      </c>
      <c r="D283" s="18" t="s">
        <v>923</v>
      </c>
      <c r="E283" s="18" t="s">
        <v>1375</v>
      </c>
      <c r="F283" s="18" t="s">
        <v>925</v>
      </c>
      <c r="G283" s="41" t="s">
        <v>57</v>
      </c>
      <c r="H283" s="18" t="s">
        <v>977</v>
      </c>
      <c r="I283" s="18" t="s">
        <v>928</v>
      </c>
      <c r="J283" s="18" t="s">
        <v>1376</v>
      </c>
    </row>
    <row r="284" ht="33.75" customHeight="true" spans="1:10">
      <c r="A284" s="18" t="s">
        <v>796</v>
      </c>
      <c r="B284" s="18" t="s">
        <v>1369</v>
      </c>
      <c r="C284" s="18" t="s">
        <v>922</v>
      </c>
      <c r="D284" s="18" t="s">
        <v>933</v>
      </c>
      <c r="E284" s="18" t="s">
        <v>1332</v>
      </c>
      <c r="F284" s="18" t="s">
        <v>925</v>
      </c>
      <c r="G284" s="41" t="s">
        <v>926</v>
      </c>
      <c r="H284" s="18" t="s">
        <v>927</v>
      </c>
      <c r="I284" s="18" t="s">
        <v>928</v>
      </c>
      <c r="J284" s="18" t="s">
        <v>1333</v>
      </c>
    </row>
    <row r="285" ht="33.75" customHeight="true" spans="1:10">
      <c r="A285" s="18" t="s">
        <v>796</v>
      </c>
      <c r="B285" s="18" t="s">
        <v>1369</v>
      </c>
      <c r="C285" s="18" t="s">
        <v>922</v>
      </c>
      <c r="D285" s="18" t="s">
        <v>933</v>
      </c>
      <c r="E285" s="18" t="s">
        <v>1377</v>
      </c>
      <c r="F285" s="18" t="s">
        <v>925</v>
      </c>
      <c r="G285" s="41" t="s">
        <v>926</v>
      </c>
      <c r="H285" s="18" t="s">
        <v>927</v>
      </c>
      <c r="I285" s="18" t="s">
        <v>928</v>
      </c>
      <c r="J285" s="18" t="s">
        <v>1378</v>
      </c>
    </row>
    <row r="286" ht="33.75" customHeight="true" spans="1:10">
      <c r="A286" s="18" t="s">
        <v>796</v>
      </c>
      <c r="B286" s="18" t="s">
        <v>1369</v>
      </c>
      <c r="C286" s="18" t="s">
        <v>922</v>
      </c>
      <c r="D286" s="18" t="s">
        <v>936</v>
      </c>
      <c r="E286" s="18" t="s">
        <v>1379</v>
      </c>
      <c r="F286" s="18" t="s">
        <v>938</v>
      </c>
      <c r="G286" s="41" t="s">
        <v>939</v>
      </c>
      <c r="H286" s="18" t="s">
        <v>927</v>
      </c>
      <c r="I286" s="18" t="s">
        <v>928</v>
      </c>
      <c r="J286" s="18" t="s">
        <v>1380</v>
      </c>
    </row>
    <row r="287" ht="33.75" customHeight="true" spans="1:10">
      <c r="A287" s="18" t="s">
        <v>796</v>
      </c>
      <c r="B287" s="18" t="s">
        <v>1369</v>
      </c>
      <c r="C287" s="18" t="s">
        <v>940</v>
      </c>
      <c r="D287" s="18" t="s">
        <v>941</v>
      </c>
      <c r="E287" s="18" t="s">
        <v>1381</v>
      </c>
      <c r="F287" s="18" t="s">
        <v>938</v>
      </c>
      <c r="G287" s="41" t="s">
        <v>1294</v>
      </c>
      <c r="H287" s="18" t="s">
        <v>927</v>
      </c>
      <c r="I287" s="18" t="s">
        <v>956</v>
      </c>
      <c r="J287" s="18" t="s">
        <v>1382</v>
      </c>
    </row>
    <row r="288" ht="33.75" customHeight="true" spans="1:10">
      <c r="A288" s="18" t="s">
        <v>796</v>
      </c>
      <c r="B288" s="18" t="s">
        <v>1369</v>
      </c>
      <c r="C288" s="18" t="s">
        <v>944</v>
      </c>
      <c r="D288" s="18" t="s">
        <v>945</v>
      </c>
      <c r="E288" s="18" t="s">
        <v>1383</v>
      </c>
      <c r="F288" s="18" t="s">
        <v>1099</v>
      </c>
      <c r="G288" s="41" t="s">
        <v>935</v>
      </c>
      <c r="H288" s="18" t="s">
        <v>927</v>
      </c>
      <c r="I288" s="18" t="s">
        <v>928</v>
      </c>
      <c r="J288" s="18" t="s">
        <v>1384</v>
      </c>
    </row>
    <row r="289" ht="33.75" customHeight="true" spans="1:10">
      <c r="A289" s="18" t="s">
        <v>742</v>
      </c>
      <c r="B289" s="18" t="s">
        <v>1385</v>
      </c>
      <c r="C289" s="18" t="s">
        <v>922</v>
      </c>
      <c r="D289" s="18" t="s">
        <v>923</v>
      </c>
      <c r="E289" s="18" t="s">
        <v>1386</v>
      </c>
      <c r="F289" s="18" t="s">
        <v>925</v>
      </c>
      <c r="G289" s="41" t="s">
        <v>1387</v>
      </c>
      <c r="H289" s="18" t="s">
        <v>1388</v>
      </c>
      <c r="I289" s="18" t="s">
        <v>928</v>
      </c>
      <c r="J289" s="18" t="s">
        <v>1389</v>
      </c>
    </row>
    <row r="290" ht="33.75" customHeight="true" spans="1:10">
      <c r="A290" s="18" t="s">
        <v>742</v>
      </c>
      <c r="B290" s="18" t="s">
        <v>1385</v>
      </c>
      <c r="C290" s="18" t="s">
        <v>922</v>
      </c>
      <c r="D290" s="18" t="s">
        <v>923</v>
      </c>
      <c r="E290" s="18" t="s">
        <v>1390</v>
      </c>
      <c r="F290" s="18" t="s">
        <v>925</v>
      </c>
      <c r="G290" s="41" t="s">
        <v>1391</v>
      </c>
      <c r="H290" s="18" t="s">
        <v>1388</v>
      </c>
      <c r="I290" s="18" t="s">
        <v>928</v>
      </c>
      <c r="J290" s="18" t="s">
        <v>1392</v>
      </c>
    </row>
    <row r="291" ht="33.75" customHeight="true" spans="1:10">
      <c r="A291" s="18" t="s">
        <v>742</v>
      </c>
      <c r="B291" s="18" t="s">
        <v>1385</v>
      </c>
      <c r="C291" s="18" t="s">
        <v>922</v>
      </c>
      <c r="D291" s="18" t="s">
        <v>933</v>
      </c>
      <c r="E291" s="18" t="s">
        <v>1393</v>
      </c>
      <c r="F291" s="18" t="s">
        <v>1303</v>
      </c>
      <c r="G291" s="41" t="s">
        <v>1264</v>
      </c>
      <c r="H291" s="18" t="s">
        <v>927</v>
      </c>
      <c r="I291" s="18" t="s">
        <v>928</v>
      </c>
      <c r="J291" s="18" t="s">
        <v>1394</v>
      </c>
    </row>
    <row r="292" ht="33.75" customHeight="true" spans="1:10">
      <c r="A292" s="18" t="s">
        <v>742</v>
      </c>
      <c r="B292" s="18" t="s">
        <v>1385</v>
      </c>
      <c r="C292" s="18" t="s">
        <v>940</v>
      </c>
      <c r="D292" s="18" t="s">
        <v>953</v>
      </c>
      <c r="E292" s="18" t="s">
        <v>1395</v>
      </c>
      <c r="F292" s="18" t="s">
        <v>1099</v>
      </c>
      <c r="G292" s="41" t="s">
        <v>1309</v>
      </c>
      <c r="H292" s="18" t="s">
        <v>1338</v>
      </c>
      <c r="I292" s="18" t="s">
        <v>928</v>
      </c>
      <c r="J292" s="18" t="s">
        <v>1396</v>
      </c>
    </row>
    <row r="293" ht="33.75" customHeight="true" spans="1:10">
      <c r="A293" s="18" t="s">
        <v>742</v>
      </c>
      <c r="B293" s="18" t="s">
        <v>1385</v>
      </c>
      <c r="C293" s="18" t="s">
        <v>944</v>
      </c>
      <c r="D293" s="18" t="s">
        <v>945</v>
      </c>
      <c r="E293" s="18" t="s">
        <v>1383</v>
      </c>
      <c r="F293" s="18" t="s">
        <v>925</v>
      </c>
      <c r="G293" s="41" t="s">
        <v>943</v>
      </c>
      <c r="H293" s="18" t="s">
        <v>927</v>
      </c>
      <c r="I293" s="18" t="s">
        <v>928</v>
      </c>
      <c r="J293" s="18" t="s">
        <v>1383</v>
      </c>
    </row>
    <row r="294" ht="33.75" customHeight="true" spans="1:10">
      <c r="A294" s="70" t="s">
        <v>77</v>
      </c>
      <c r="B294" s="18"/>
      <c r="C294" s="18"/>
      <c r="D294" s="18"/>
      <c r="E294" s="18"/>
      <c r="F294" s="18"/>
      <c r="G294" s="18"/>
      <c r="H294" s="18"/>
      <c r="I294" s="18"/>
      <c r="J294" s="18"/>
    </row>
    <row r="295" ht="33.75" customHeight="true" spans="1:10">
      <c r="A295" s="18" t="s">
        <v>834</v>
      </c>
      <c r="B295" s="18" t="s">
        <v>1397</v>
      </c>
      <c r="C295" s="18" t="s">
        <v>922</v>
      </c>
      <c r="D295" s="18" t="s">
        <v>923</v>
      </c>
      <c r="E295" s="18" t="s">
        <v>1398</v>
      </c>
      <c r="F295" s="18" t="s">
        <v>938</v>
      </c>
      <c r="G295" s="41" t="s">
        <v>1182</v>
      </c>
      <c r="H295" s="18" t="s">
        <v>998</v>
      </c>
      <c r="I295" s="18" t="s">
        <v>928</v>
      </c>
      <c r="J295" s="18" t="s">
        <v>1399</v>
      </c>
    </row>
    <row r="296" ht="33.75" customHeight="true" spans="1:10">
      <c r="A296" s="18" t="s">
        <v>834</v>
      </c>
      <c r="B296" s="18" t="s">
        <v>1397</v>
      </c>
      <c r="C296" s="18" t="s">
        <v>922</v>
      </c>
      <c r="D296" s="18" t="s">
        <v>923</v>
      </c>
      <c r="E296" s="18" t="s">
        <v>1400</v>
      </c>
      <c r="F296" s="18" t="s">
        <v>938</v>
      </c>
      <c r="G296" s="41" t="s">
        <v>1182</v>
      </c>
      <c r="H296" s="18" t="s">
        <v>998</v>
      </c>
      <c r="I296" s="18" t="s">
        <v>928</v>
      </c>
      <c r="J296" s="18" t="s">
        <v>1401</v>
      </c>
    </row>
    <row r="297" ht="33.75" customHeight="true" spans="1:10">
      <c r="A297" s="18" t="s">
        <v>834</v>
      </c>
      <c r="B297" s="18" t="s">
        <v>1397</v>
      </c>
      <c r="C297" s="18" t="s">
        <v>922</v>
      </c>
      <c r="D297" s="18" t="s">
        <v>933</v>
      </c>
      <c r="E297" s="18" t="s">
        <v>1402</v>
      </c>
      <c r="F297" s="18" t="s">
        <v>925</v>
      </c>
      <c r="G297" s="41" t="s">
        <v>926</v>
      </c>
      <c r="H297" s="18" t="s">
        <v>927</v>
      </c>
      <c r="I297" s="18" t="s">
        <v>928</v>
      </c>
      <c r="J297" s="18" t="s">
        <v>1403</v>
      </c>
    </row>
    <row r="298" ht="33.75" customHeight="true" spans="1:10">
      <c r="A298" s="18" t="s">
        <v>834</v>
      </c>
      <c r="B298" s="18" t="s">
        <v>1397</v>
      </c>
      <c r="C298" s="18" t="s">
        <v>940</v>
      </c>
      <c r="D298" s="18" t="s">
        <v>941</v>
      </c>
      <c r="E298" s="18" t="s">
        <v>1404</v>
      </c>
      <c r="F298" s="18" t="s">
        <v>925</v>
      </c>
      <c r="G298" s="41" t="s">
        <v>939</v>
      </c>
      <c r="H298" s="18" t="s">
        <v>1357</v>
      </c>
      <c r="I298" s="18" t="s">
        <v>928</v>
      </c>
      <c r="J298" s="18" t="s">
        <v>1405</v>
      </c>
    </row>
    <row r="299" ht="33.75" customHeight="true" spans="1:10">
      <c r="A299" s="18" t="s">
        <v>834</v>
      </c>
      <c r="B299" s="18" t="s">
        <v>1397</v>
      </c>
      <c r="C299" s="18" t="s">
        <v>944</v>
      </c>
      <c r="D299" s="18" t="s">
        <v>945</v>
      </c>
      <c r="E299" s="18" t="s">
        <v>1383</v>
      </c>
      <c r="F299" s="18" t="s">
        <v>925</v>
      </c>
      <c r="G299" s="41" t="s">
        <v>935</v>
      </c>
      <c r="H299" s="18" t="s">
        <v>927</v>
      </c>
      <c r="I299" s="18" t="s">
        <v>928</v>
      </c>
      <c r="J299" s="18" t="s">
        <v>1406</v>
      </c>
    </row>
    <row r="300" ht="33.75" customHeight="true" spans="1:10">
      <c r="A300" s="18" t="s">
        <v>798</v>
      </c>
      <c r="B300" s="18" t="s">
        <v>1407</v>
      </c>
      <c r="C300" s="18" t="s">
        <v>922</v>
      </c>
      <c r="D300" s="18" t="s">
        <v>933</v>
      </c>
      <c r="E300" s="18" t="s">
        <v>1408</v>
      </c>
      <c r="F300" s="18" t="s">
        <v>925</v>
      </c>
      <c r="G300" s="41" t="s">
        <v>935</v>
      </c>
      <c r="H300" s="18" t="s">
        <v>927</v>
      </c>
      <c r="I300" s="18" t="s">
        <v>928</v>
      </c>
      <c r="J300" s="18" t="s">
        <v>1409</v>
      </c>
    </row>
    <row r="301" ht="33.75" customHeight="true" spans="1:10">
      <c r="A301" s="18" t="s">
        <v>798</v>
      </c>
      <c r="B301" s="18" t="s">
        <v>1407</v>
      </c>
      <c r="C301" s="18" t="s">
        <v>940</v>
      </c>
      <c r="D301" s="18" t="s">
        <v>941</v>
      </c>
      <c r="E301" s="18" t="s">
        <v>1410</v>
      </c>
      <c r="F301" s="18" t="s">
        <v>938</v>
      </c>
      <c r="G301" s="41" t="s">
        <v>1411</v>
      </c>
      <c r="H301" s="18" t="s">
        <v>927</v>
      </c>
      <c r="I301" s="18" t="s">
        <v>956</v>
      </c>
      <c r="J301" s="18" t="s">
        <v>1412</v>
      </c>
    </row>
    <row r="302" ht="33.75" customHeight="true" spans="1:10">
      <c r="A302" s="18" t="s">
        <v>798</v>
      </c>
      <c r="B302" s="18" t="s">
        <v>1407</v>
      </c>
      <c r="C302" s="18" t="s">
        <v>940</v>
      </c>
      <c r="D302" s="18" t="s">
        <v>941</v>
      </c>
      <c r="E302" s="18" t="s">
        <v>1314</v>
      </c>
      <c r="F302" s="18" t="s">
        <v>938</v>
      </c>
      <c r="G302" s="41" t="s">
        <v>1315</v>
      </c>
      <c r="H302" s="18" t="s">
        <v>927</v>
      </c>
      <c r="I302" s="18" t="s">
        <v>956</v>
      </c>
      <c r="J302" s="18" t="s">
        <v>1412</v>
      </c>
    </row>
    <row r="303" ht="33.75" customHeight="true" spans="1:10">
      <c r="A303" s="18" t="s">
        <v>798</v>
      </c>
      <c r="B303" s="18" t="s">
        <v>1407</v>
      </c>
      <c r="C303" s="18" t="s">
        <v>944</v>
      </c>
      <c r="D303" s="18" t="s">
        <v>945</v>
      </c>
      <c r="E303" s="18" t="s">
        <v>1413</v>
      </c>
      <c r="F303" s="18" t="s">
        <v>925</v>
      </c>
      <c r="G303" s="41" t="s">
        <v>963</v>
      </c>
      <c r="H303" s="18" t="s">
        <v>927</v>
      </c>
      <c r="I303" s="18" t="s">
        <v>928</v>
      </c>
      <c r="J303" s="18" t="s">
        <v>1414</v>
      </c>
    </row>
    <row r="304" ht="33.75" customHeight="true" spans="1:10">
      <c r="A304" s="18" t="s">
        <v>798</v>
      </c>
      <c r="B304" s="18" t="s">
        <v>1407</v>
      </c>
      <c r="C304" s="18" t="s">
        <v>944</v>
      </c>
      <c r="D304" s="18" t="s">
        <v>945</v>
      </c>
      <c r="E304" s="18" t="s">
        <v>1383</v>
      </c>
      <c r="F304" s="18" t="s">
        <v>925</v>
      </c>
      <c r="G304" s="41" t="s">
        <v>963</v>
      </c>
      <c r="H304" s="18" t="s">
        <v>927</v>
      </c>
      <c r="I304" s="18" t="s">
        <v>928</v>
      </c>
      <c r="J304" s="18" t="s">
        <v>1414</v>
      </c>
    </row>
    <row r="305" ht="33.75" customHeight="true" spans="1:10">
      <c r="A305" s="70" t="s">
        <v>79</v>
      </c>
      <c r="B305" s="18"/>
      <c r="C305" s="18"/>
      <c r="D305" s="18"/>
      <c r="E305" s="18"/>
      <c r="F305" s="18"/>
      <c r="G305" s="18"/>
      <c r="H305" s="18"/>
      <c r="I305" s="18"/>
      <c r="J305" s="18"/>
    </row>
    <row r="306" ht="33.75" customHeight="true" spans="1:10">
      <c r="A306" s="18" t="s">
        <v>845</v>
      </c>
      <c r="B306" s="18" t="s">
        <v>1415</v>
      </c>
      <c r="C306" s="18" t="s">
        <v>922</v>
      </c>
      <c r="D306" s="18" t="s">
        <v>923</v>
      </c>
      <c r="E306" s="18" t="s">
        <v>1386</v>
      </c>
      <c r="F306" s="18" t="s">
        <v>925</v>
      </c>
      <c r="G306" s="41" t="s">
        <v>1416</v>
      </c>
      <c r="H306" s="18" t="s">
        <v>1357</v>
      </c>
      <c r="I306" s="18" t="s">
        <v>928</v>
      </c>
      <c r="J306" s="18" t="s">
        <v>1417</v>
      </c>
    </row>
    <row r="307" ht="33.75" customHeight="true" spans="1:10">
      <c r="A307" s="18" t="s">
        <v>845</v>
      </c>
      <c r="B307" s="18" t="s">
        <v>1415</v>
      </c>
      <c r="C307" s="18" t="s">
        <v>922</v>
      </c>
      <c r="D307" s="18" t="s">
        <v>923</v>
      </c>
      <c r="E307" s="18" t="s">
        <v>1392</v>
      </c>
      <c r="F307" s="18" t="s">
        <v>925</v>
      </c>
      <c r="G307" s="41" t="s">
        <v>1418</v>
      </c>
      <c r="H307" s="18" t="s">
        <v>1357</v>
      </c>
      <c r="I307" s="18" t="s">
        <v>928</v>
      </c>
      <c r="J307" s="18" t="s">
        <v>1417</v>
      </c>
    </row>
    <row r="308" ht="33.75" customHeight="true" spans="1:10">
      <c r="A308" s="18" t="s">
        <v>845</v>
      </c>
      <c r="B308" s="18" t="s">
        <v>1415</v>
      </c>
      <c r="C308" s="18" t="s">
        <v>922</v>
      </c>
      <c r="D308" s="18" t="s">
        <v>933</v>
      </c>
      <c r="E308" s="18" t="s">
        <v>1419</v>
      </c>
      <c r="F308" s="18" t="s">
        <v>925</v>
      </c>
      <c r="G308" s="41" t="s">
        <v>1420</v>
      </c>
      <c r="H308" s="18" t="s">
        <v>1049</v>
      </c>
      <c r="I308" s="18" t="s">
        <v>928</v>
      </c>
      <c r="J308" s="18" t="s">
        <v>1417</v>
      </c>
    </row>
    <row r="309" ht="33.75" customHeight="true" spans="1:10">
      <c r="A309" s="18" t="s">
        <v>845</v>
      </c>
      <c r="B309" s="18" t="s">
        <v>1415</v>
      </c>
      <c r="C309" s="18" t="s">
        <v>940</v>
      </c>
      <c r="D309" s="18" t="s">
        <v>953</v>
      </c>
      <c r="E309" s="18" t="s">
        <v>1421</v>
      </c>
      <c r="F309" s="18" t="s">
        <v>925</v>
      </c>
      <c r="G309" s="41" t="s">
        <v>1264</v>
      </c>
      <c r="H309" s="18" t="s">
        <v>927</v>
      </c>
      <c r="I309" s="18" t="s">
        <v>928</v>
      </c>
      <c r="J309" s="18" t="s">
        <v>1417</v>
      </c>
    </row>
    <row r="310" ht="33.75" customHeight="true" spans="1:10">
      <c r="A310" s="18" t="s">
        <v>845</v>
      </c>
      <c r="B310" s="18" t="s">
        <v>1415</v>
      </c>
      <c r="C310" s="18" t="s">
        <v>940</v>
      </c>
      <c r="D310" s="18" t="s">
        <v>941</v>
      </c>
      <c r="E310" s="18" t="s">
        <v>1422</v>
      </c>
      <c r="F310" s="18" t="s">
        <v>925</v>
      </c>
      <c r="G310" s="41" t="s">
        <v>943</v>
      </c>
      <c r="H310" s="18" t="s">
        <v>927</v>
      </c>
      <c r="I310" s="18" t="s">
        <v>928</v>
      </c>
      <c r="J310" s="18" t="s">
        <v>1417</v>
      </c>
    </row>
    <row r="311" ht="33.75" customHeight="true" spans="1:10">
      <c r="A311" s="18" t="s">
        <v>845</v>
      </c>
      <c r="B311" s="18" t="s">
        <v>1415</v>
      </c>
      <c r="C311" s="18" t="s">
        <v>944</v>
      </c>
      <c r="D311" s="18" t="s">
        <v>945</v>
      </c>
      <c r="E311" s="18" t="s">
        <v>1423</v>
      </c>
      <c r="F311" s="18" t="s">
        <v>925</v>
      </c>
      <c r="G311" s="41" t="s">
        <v>1424</v>
      </c>
      <c r="H311" s="18" t="s">
        <v>927</v>
      </c>
      <c r="I311" s="18" t="s">
        <v>928</v>
      </c>
      <c r="J311" s="18" t="s">
        <v>1417</v>
      </c>
    </row>
    <row r="312" ht="33.75" customHeight="true" spans="1:10">
      <c r="A312" s="18" t="s">
        <v>845</v>
      </c>
      <c r="B312" s="18" t="s">
        <v>1415</v>
      </c>
      <c r="C312" s="18" t="s">
        <v>944</v>
      </c>
      <c r="D312" s="18" t="s">
        <v>945</v>
      </c>
      <c r="E312" s="18" t="s">
        <v>1425</v>
      </c>
      <c r="F312" s="18" t="s">
        <v>925</v>
      </c>
      <c r="G312" s="41" t="s">
        <v>1426</v>
      </c>
      <c r="H312" s="18" t="s">
        <v>927</v>
      </c>
      <c r="I312" s="18" t="s">
        <v>928</v>
      </c>
      <c r="J312" s="18" t="s">
        <v>1417</v>
      </c>
    </row>
    <row r="313" ht="33.75" customHeight="true" spans="1:10">
      <c r="A313" s="70" t="s">
        <v>81</v>
      </c>
      <c r="B313" s="18"/>
      <c r="C313" s="18"/>
      <c r="D313" s="18"/>
      <c r="E313" s="18"/>
      <c r="F313" s="18"/>
      <c r="G313" s="18"/>
      <c r="H313" s="18"/>
      <c r="I313" s="18"/>
      <c r="J313" s="18"/>
    </row>
    <row r="314" ht="33.75" customHeight="true" spans="1:10">
      <c r="A314" s="18" t="s">
        <v>869</v>
      </c>
      <c r="B314" s="18" t="s">
        <v>1427</v>
      </c>
      <c r="C314" s="18" t="s">
        <v>922</v>
      </c>
      <c r="D314" s="18" t="s">
        <v>923</v>
      </c>
      <c r="E314" s="18" t="s">
        <v>1428</v>
      </c>
      <c r="F314" s="18" t="s">
        <v>925</v>
      </c>
      <c r="G314" s="41" t="s">
        <v>939</v>
      </c>
      <c r="H314" s="18" t="s">
        <v>952</v>
      </c>
      <c r="I314" s="18" t="s">
        <v>928</v>
      </c>
      <c r="J314" s="18" t="s">
        <v>1429</v>
      </c>
    </row>
    <row r="315" ht="33.75" customHeight="true" spans="1:10">
      <c r="A315" s="18" t="s">
        <v>869</v>
      </c>
      <c r="B315" s="18" t="s">
        <v>1427</v>
      </c>
      <c r="C315" s="18" t="s">
        <v>922</v>
      </c>
      <c r="D315" s="18" t="s">
        <v>923</v>
      </c>
      <c r="E315" s="18" t="s">
        <v>1430</v>
      </c>
      <c r="F315" s="18" t="s">
        <v>925</v>
      </c>
      <c r="G315" s="41" t="s">
        <v>1431</v>
      </c>
      <c r="H315" s="18" t="s">
        <v>952</v>
      </c>
      <c r="I315" s="18" t="s">
        <v>928</v>
      </c>
      <c r="J315" s="18" t="s">
        <v>1432</v>
      </c>
    </row>
    <row r="316" ht="33.75" customHeight="true" spans="1:10">
      <c r="A316" s="18" t="s">
        <v>869</v>
      </c>
      <c r="B316" s="18" t="s">
        <v>1427</v>
      </c>
      <c r="C316" s="18" t="s">
        <v>922</v>
      </c>
      <c r="D316" s="18" t="s">
        <v>936</v>
      </c>
      <c r="E316" s="18" t="s">
        <v>1433</v>
      </c>
      <c r="F316" s="18" t="s">
        <v>1303</v>
      </c>
      <c r="G316" s="41" t="s">
        <v>46</v>
      </c>
      <c r="H316" s="18" t="s">
        <v>1434</v>
      </c>
      <c r="I316" s="18" t="s">
        <v>928</v>
      </c>
      <c r="J316" s="18" t="s">
        <v>1435</v>
      </c>
    </row>
    <row r="317" ht="33.75" customHeight="true" spans="1:10">
      <c r="A317" s="18" t="s">
        <v>869</v>
      </c>
      <c r="B317" s="18" t="s">
        <v>1427</v>
      </c>
      <c r="C317" s="18" t="s">
        <v>922</v>
      </c>
      <c r="D317" s="18" t="s">
        <v>936</v>
      </c>
      <c r="E317" s="18" t="s">
        <v>1436</v>
      </c>
      <c r="F317" s="18" t="s">
        <v>985</v>
      </c>
      <c r="G317" s="41" t="s">
        <v>55</v>
      </c>
      <c r="H317" s="18" t="s">
        <v>1437</v>
      </c>
      <c r="I317" s="18" t="s">
        <v>928</v>
      </c>
      <c r="J317" s="18" t="s">
        <v>1438</v>
      </c>
    </row>
    <row r="318" ht="33.75" customHeight="true" spans="1:10">
      <c r="A318" s="18" t="s">
        <v>869</v>
      </c>
      <c r="B318" s="18" t="s">
        <v>1427</v>
      </c>
      <c r="C318" s="18" t="s">
        <v>940</v>
      </c>
      <c r="D318" s="18" t="s">
        <v>941</v>
      </c>
      <c r="E318" s="18" t="s">
        <v>1439</v>
      </c>
      <c r="F318" s="18" t="s">
        <v>925</v>
      </c>
      <c r="G318" s="41" t="s">
        <v>939</v>
      </c>
      <c r="H318" s="18" t="s">
        <v>927</v>
      </c>
      <c r="I318" s="18" t="s">
        <v>956</v>
      </c>
      <c r="J318" s="18" t="s">
        <v>1440</v>
      </c>
    </row>
    <row r="319" ht="33.75" customHeight="true" spans="1:10">
      <c r="A319" s="18" t="s">
        <v>869</v>
      </c>
      <c r="B319" s="18" t="s">
        <v>1427</v>
      </c>
      <c r="C319" s="18" t="s">
        <v>940</v>
      </c>
      <c r="D319" s="18" t="s">
        <v>941</v>
      </c>
      <c r="E319" s="18" t="s">
        <v>1441</v>
      </c>
      <c r="F319" s="18" t="s">
        <v>925</v>
      </c>
      <c r="G319" s="41" t="s">
        <v>939</v>
      </c>
      <c r="H319" s="18" t="s">
        <v>927</v>
      </c>
      <c r="I319" s="18" t="s">
        <v>928</v>
      </c>
      <c r="J319" s="18" t="s">
        <v>1442</v>
      </c>
    </row>
    <row r="320" ht="33.75" customHeight="true" spans="1:10">
      <c r="A320" s="18" t="s">
        <v>869</v>
      </c>
      <c r="B320" s="18" t="s">
        <v>1427</v>
      </c>
      <c r="C320" s="18" t="s">
        <v>940</v>
      </c>
      <c r="D320" s="18" t="s">
        <v>941</v>
      </c>
      <c r="E320" s="18" t="s">
        <v>1443</v>
      </c>
      <c r="F320" s="18" t="s">
        <v>925</v>
      </c>
      <c r="G320" s="41" t="s">
        <v>963</v>
      </c>
      <c r="H320" s="18" t="s">
        <v>927</v>
      </c>
      <c r="I320" s="18" t="s">
        <v>928</v>
      </c>
      <c r="J320" s="18" t="s">
        <v>1444</v>
      </c>
    </row>
    <row r="321" ht="33.75" customHeight="true" spans="1:10">
      <c r="A321" s="18" t="s">
        <v>869</v>
      </c>
      <c r="B321" s="18" t="s">
        <v>1427</v>
      </c>
      <c r="C321" s="18" t="s">
        <v>940</v>
      </c>
      <c r="D321" s="18" t="s">
        <v>957</v>
      </c>
      <c r="E321" s="18" t="s">
        <v>1445</v>
      </c>
      <c r="F321" s="18" t="s">
        <v>938</v>
      </c>
      <c r="G321" s="41" t="s">
        <v>939</v>
      </c>
      <c r="H321" s="18" t="s">
        <v>927</v>
      </c>
      <c r="I321" s="18" t="s">
        <v>928</v>
      </c>
      <c r="J321" s="18" t="s">
        <v>1446</v>
      </c>
    </row>
    <row r="322" ht="33.75" customHeight="true" spans="1:10">
      <c r="A322" s="18" t="s">
        <v>869</v>
      </c>
      <c r="B322" s="18" t="s">
        <v>1427</v>
      </c>
      <c r="C322" s="18" t="s">
        <v>940</v>
      </c>
      <c r="D322" s="18" t="s">
        <v>957</v>
      </c>
      <c r="E322" s="18" t="s">
        <v>1447</v>
      </c>
      <c r="F322" s="18" t="s">
        <v>925</v>
      </c>
      <c r="G322" s="41" t="s">
        <v>963</v>
      </c>
      <c r="H322" s="18" t="s">
        <v>927</v>
      </c>
      <c r="I322" s="18" t="s">
        <v>928</v>
      </c>
      <c r="J322" s="18" t="s">
        <v>1448</v>
      </c>
    </row>
    <row r="323" ht="33.75" customHeight="true" spans="1:10">
      <c r="A323" s="18" t="s">
        <v>869</v>
      </c>
      <c r="B323" s="18" t="s">
        <v>1427</v>
      </c>
      <c r="C323" s="18" t="s">
        <v>944</v>
      </c>
      <c r="D323" s="18" t="s">
        <v>945</v>
      </c>
      <c r="E323" s="18" t="s">
        <v>1449</v>
      </c>
      <c r="F323" s="18" t="s">
        <v>925</v>
      </c>
      <c r="G323" s="41" t="s">
        <v>935</v>
      </c>
      <c r="H323" s="18" t="s">
        <v>927</v>
      </c>
      <c r="I323" s="18" t="s">
        <v>956</v>
      </c>
      <c r="J323" s="18" t="s">
        <v>1450</v>
      </c>
    </row>
    <row r="324" ht="33.75" customHeight="true" spans="1:10">
      <c r="A324" s="70" t="s">
        <v>83</v>
      </c>
      <c r="B324" s="18"/>
      <c r="C324" s="18"/>
      <c r="D324" s="18"/>
      <c r="E324" s="18"/>
      <c r="F324" s="18"/>
      <c r="G324" s="18"/>
      <c r="H324" s="18"/>
      <c r="I324" s="18"/>
      <c r="J324" s="18"/>
    </row>
    <row r="325" ht="33.75" customHeight="true" spans="1:10">
      <c r="A325" s="18" t="s">
        <v>902</v>
      </c>
      <c r="B325" s="18" t="s">
        <v>1451</v>
      </c>
      <c r="C325" s="18" t="s">
        <v>922</v>
      </c>
      <c r="D325" s="18" t="s">
        <v>923</v>
      </c>
      <c r="E325" s="18" t="s">
        <v>1452</v>
      </c>
      <c r="F325" s="18" t="s">
        <v>925</v>
      </c>
      <c r="G325" s="41" t="s">
        <v>1182</v>
      </c>
      <c r="H325" s="18" t="s">
        <v>1453</v>
      </c>
      <c r="I325" s="18" t="s">
        <v>928</v>
      </c>
      <c r="J325" s="18" t="s">
        <v>1454</v>
      </c>
    </row>
    <row r="326" ht="33.75" customHeight="true" spans="1:10">
      <c r="A326" s="18" t="s">
        <v>902</v>
      </c>
      <c r="B326" s="18" t="s">
        <v>1451</v>
      </c>
      <c r="C326" s="18" t="s">
        <v>922</v>
      </c>
      <c r="D326" s="18" t="s">
        <v>923</v>
      </c>
      <c r="E326" s="18" t="s">
        <v>1455</v>
      </c>
      <c r="F326" s="18" t="s">
        <v>925</v>
      </c>
      <c r="G326" s="41" t="s">
        <v>45</v>
      </c>
      <c r="H326" s="18" t="s">
        <v>1453</v>
      </c>
      <c r="I326" s="18" t="s">
        <v>928</v>
      </c>
      <c r="J326" s="18" t="s">
        <v>1456</v>
      </c>
    </row>
    <row r="327" ht="33.75" customHeight="true" spans="1:10">
      <c r="A327" s="18" t="s">
        <v>902</v>
      </c>
      <c r="B327" s="18" t="s">
        <v>1451</v>
      </c>
      <c r="C327" s="18" t="s">
        <v>922</v>
      </c>
      <c r="D327" s="18" t="s">
        <v>933</v>
      </c>
      <c r="E327" s="18" t="s">
        <v>1457</v>
      </c>
      <c r="F327" s="18" t="s">
        <v>938</v>
      </c>
      <c r="G327" s="41" t="s">
        <v>939</v>
      </c>
      <c r="H327" s="18" t="s">
        <v>927</v>
      </c>
      <c r="I327" s="18" t="s">
        <v>928</v>
      </c>
      <c r="J327" s="18" t="s">
        <v>1458</v>
      </c>
    </row>
    <row r="328" ht="33.75" customHeight="true" spans="1:10">
      <c r="A328" s="18" t="s">
        <v>902</v>
      </c>
      <c r="B328" s="18" t="s">
        <v>1451</v>
      </c>
      <c r="C328" s="18" t="s">
        <v>922</v>
      </c>
      <c r="D328" s="18" t="s">
        <v>936</v>
      </c>
      <c r="E328" s="18" t="s">
        <v>1459</v>
      </c>
      <c r="F328" s="18" t="s">
        <v>985</v>
      </c>
      <c r="G328" s="41" t="s">
        <v>46</v>
      </c>
      <c r="H328" s="18" t="s">
        <v>1036</v>
      </c>
      <c r="I328" s="18" t="s">
        <v>928</v>
      </c>
      <c r="J328" s="18" t="s">
        <v>1460</v>
      </c>
    </row>
    <row r="329" ht="33.75" customHeight="true" spans="1:10">
      <c r="A329" s="18" t="s">
        <v>902</v>
      </c>
      <c r="B329" s="18" t="s">
        <v>1451</v>
      </c>
      <c r="C329" s="18" t="s">
        <v>940</v>
      </c>
      <c r="D329" s="18" t="s">
        <v>941</v>
      </c>
      <c r="E329" s="18" t="s">
        <v>1461</v>
      </c>
      <c r="F329" s="18" t="s">
        <v>938</v>
      </c>
      <c r="G329" s="41" t="s">
        <v>1462</v>
      </c>
      <c r="H329" s="18" t="s">
        <v>927</v>
      </c>
      <c r="I329" s="18" t="s">
        <v>956</v>
      </c>
      <c r="J329" s="18" t="s">
        <v>1463</v>
      </c>
    </row>
    <row r="330" ht="33.75" customHeight="true" spans="1:10">
      <c r="A330" s="18" t="s">
        <v>902</v>
      </c>
      <c r="B330" s="18" t="s">
        <v>1451</v>
      </c>
      <c r="C330" s="18" t="s">
        <v>944</v>
      </c>
      <c r="D330" s="18" t="s">
        <v>945</v>
      </c>
      <c r="E330" s="18" t="s">
        <v>1464</v>
      </c>
      <c r="F330" s="18" t="s">
        <v>925</v>
      </c>
      <c r="G330" s="41" t="s">
        <v>935</v>
      </c>
      <c r="H330" s="18" t="s">
        <v>927</v>
      </c>
      <c r="I330" s="18" t="s">
        <v>928</v>
      </c>
      <c r="J330" s="18" t="s">
        <v>1465</v>
      </c>
    </row>
    <row r="331" ht="33.75" customHeight="true" spans="1:10">
      <c r="A331" s="18" t="s">
        <v>877</v>
      </c>
      <c r="B331" s="18" t="s">
        <v>1466</v>
      </c>
      <c r="C331" s="18" t="s">
        <v>922</v>
      </c>
      <c r="D331" s="18" t="s">
        <v>923</v>
      </c>
      <c r="E331" s="18" t="s">
        <v>1467</v>
      </c>
      <c r="F331" s="18" t="s">
        <v>938</v>
      </c>
      <c r="G331" s="41" t="s">
        <v>939</v>
      </c>
      <c r="H331" s="18" t="s">
        <v>927</v>
      </c>
      <c r="I331" s="18" t="s">
        <v>928</v>
      </c>
      <c r="J331" s="18" t="s">
        <v>1468</v>
      </c>
    </row>
    <row r="332" ht="33.75" customHeight="true" spans="1:10">
      <c r="A332" s="18" t="s">
        <v>877</v>
      </c>
      <c r="B332" s="18" t="s">
        <v>1466</v>
      </c>
      <c r="C332" s="18" t="s">
        <v>922</v>
      </c>
      <c r="D332" s="18" t="s">
        <v>933</v>
      </c>
      <c r="E332" s="18" t="s">
        <v>1469</v>
      </c>
      <c r="F332" s="18" t="s">
        <v>925</v>
      </c>
      <c r="G332" s="41" t="s">
        <v>943</v>
      </c>
      <c r="H332" s="18" t="s">
        <v>927</v>
      </c>
      <c r="I332" s="18" t="s">
        <v>928</v>
      </c>
      <c r="J332" s="18" t="s">
        <v>1470</v>
      </c>
    </row>
    <row r="333" ht="33.75" customHeight="true" spans="1:10">
      <c r="A333" s="18" t="s">
        <v>877</v>
      </c>
      <c r="B333" s="18" t="s">
        <v>1466</v>
      </c>
      <c r="C333" s="18" t="s">
        <v>922</v>
      </c>
      <c r="D333" s="18" t="s">
        <v>936</v>
      </c>
      <c r="E333" s="18" t="s">
        <v>1471</v>
      </c>
      <c r="F333" s="18" t="s">
        <v>938</v>
      </c>
      <c r="G333" s="41" t="s">
        <v>44</v>
      </c>
      <c r="H333" s="18" t="s">
        <v>1036</v>
      </c>
      <c r="I333" s="18" t="s">
        <v>928</v>
      </c>
      <c r="J333" s="18" t="s">
        <v>1472</v>
      </c>
    </row>
    <row r="334" ht="33.75" customHeight="true" spans="1:10">
      <c r="A334" s="18" t="s">
        <v>877</v>
      </c>
      <c r="B334" s="18" t="s">
        <v>1466</v>
      </c>
      <c r="C334" s="18" t="s">
        <v>940</v>
      </c>
      <c r="D334" s="18" t="s">
        <v>941</v>
      </c>
      <c r="E334" s="18" t="s">
        <v>1473</v>
      </c>
      <c r="F334" s="18" t="s">
        <v>938</v>
      </c>
      <c r="G334" s="41" t="s">
        <v>1474</v>
      </c>
      <c r="H334" s="18" t="s">
        <v>927</v>
      </c>
      <c r="I334" s="18" t="s">
        <v>956</v>
      </c>
      <c r="J334" s="18" t="s">
        <v>1475</v>
      </c>
    </row>
    <row r="335" ht="33.75" customHeight="true" spans="1:10">
      <c r="A335" s="18" t="s">
        <v>877</v>
      </c>
      <c r="B335" s="18" t="s">
        <v>1466</v>
      </c>
      <c r="C335" s="18" t="s">
        <v>944</v>
      </c>
      <c r="D335" s="18" t="s">
        <v>945</v>
      </c>
      <c r="E335" s="18" t="s">
        <v>1383</v>
      </c>
      <c r="F335" s="18" t="s">
        <v>925</v>
      </c>
      <c r="G335" s="41" t="s">
        <v>943</v>
      </c>
      <c r="H335" s="18" t="s">
        <v>927</v>
      </c>
      <c r="I335" s="18" t="s">
        <v>928</v>
      </c>
      <c r="J335" s="18" t="s">
        <v>1476</v>
      </c>
    </row>
    <row r="336" ht="33.75" customHeight="true" spans="1:10">
      <c r="A336" s="70" t="s">
        <v>85</v>
      </c>
      <c r="B336" s="18"/>
      <c r="C336" s="18"/>
      <c r="D336" s="18"/>
      <c r="E336" s="18"/>
      <c r="F336" s="18"/>
      <c r="G336" s="18"/>
      <c r="H336" s="18"/>
      <c r="I336" s="18"/>
      <c r="J336" s="18"/>
    </row>
    <row r="337" ht="33.75" customHeight="true" spans="1:10">
      <c r="A337" s="18" t="s">
        <v>906</v>
      </c>
      <c r="B337" s="18" t="s">
        <v>1385</v>
      </c>
      <c r="C337" s="18" t="s">
        <v>922</v>
      </c>
      <c r="D337" s="18" t="s">
        <v>923</v>
      </c>
      <c r="E337" s="18" t="s">
        <v>1477</v>
      </c>
      <c r="F337" s="18" t="s">
        <v>925</v>
      </c>
      <c r="G337" s="41" t="s">
        <v>47</v>
      </c>
      <c r="H337" s="18" t="s">
        <v>998</v>
      </c>
      <c r="I337" s="18" t="s">
        <v>928</v>
      </c>
      <c r="J337" s="18" t="s">
        <v>1478</v>
      </c>
    </row>
    <row r="338" ht="33.75" customHeight="true" spans="1:10">
      <c r="A338" s="18" t="s">
        <v>906</v>
      </c>
      <c r="B338" s="18" t="s">
        <v>1385</v>
      </c>
      <c r="C338" s="18" t="s">
        <v>940</v>
      </c>
      <c r="D338" s="18" t="s">
        <v>953</v>
      </c>
      <c r="E338" s="18" t="s">
        <v>1395</v>
      </c>
      <c r="F338" s="18" t="s">
        <v>938</v>
      </c>
      <c r="G338" s="41" t="s">
        <v>1479</v>
      </c>
      <c r="H338" s="18" t="s">
        <v>927</v>
      </c>
      <c r="I338" s="18" t="s">
        <v>928</v>
      </c>
      <c r="J338" s="18" t="s">
        <v>1480</v>
      </c>
    </row>
    <row r="339" ht="33.75" customHeight="true" spans="1:10">
      <c r="A339" s="18" t="s">
        <v>906</v>
      </c>
      <c r="B339" s="18" t="s">
        <v>1385</v>
      </c>
      <c r="C339" s="18" t="s">
        <v>940</v>
      </c>
      <c r="D339" s="18" t="s">
        <v>941</v>
      </c>
      <c r="E339" s="18" t="s">
        <v>1481</v>
      </c>
      <c r="F339" s="18" t="s">
        <v>938</v>
      </c>
      <c r="G339" s="41" t="s">
        <v>1462</v>
      </c>
      <c r="H339" s="18" t="s">
        <v>927</v>
      </c>
      <c r="I339" s="18" t="s">
        <v>956</v>
      </c>
      <c r="J339" s="18" t="s">
        <v>1482</v>
      </c>
    </row>
    <row r="340" ht="33.75" customHeight="true" spans="1:10">
      <c r="A340" s="18" t="s">
        <v>906</v>
      </c>
      <c r="B340" s="18" t="s">
        <v>1385</v>
      </c>
      <c r="C340" s="18" t="s">
        <v>940</v>
      </c>
      <c r="D340" s="18" t="s">
        <v>941</v>
      </c>
      <c r="E340" s="18" t="s">
        <v>1314</v>
      </c>
      <c r="F340" s="18" t="s">
        <v>938</v>
      </c>
      <c r="G340" s="41" t="s">
        <v>1315</v>
      </c>
      <c r="H340" s="18" t="s">
        <v>1483</v>
      </c>
      <c r="I340" s="18" t="s">
        <v>956</v>
      </c>
      <c r="J340" s="18" t="s">
        <v>1482</v>
      </c>
    </row>
    <row r="341" ht="33.75" customHeight="true" spans="1:10">
      <c r="A341" s="18" t="s">
        <v>906</v>
      </c>
      <c r="B341" s="18" t="s">
        <v>1385</v>
      </c>
      <c r="C341" s="18" t="s">
        <v>944</v>
      </c>
      <c r="D341" s="18" t="s">
        <v>945</v>
      </c>
      <c r="E341" s="18" t="s">
        <v>1484</v>
      </c>
      <c r="F341" s="18" t="s">
        <v>925</v>
      </c>
      <c r="G341" s="41" t="s">
        <v>943</v>
      </c>
      <c r="H341" s="18" t="s">
        <v>927</v>
      </c>
      <c r="I341" s="18" t="s">
        <v>928</v>
      </c>
      <c r="J341" s="18" t="s">
        <v>1485</v>
      </c>
    </row>
    <row r="342" ht="33.75" customHeight="true" spans="1:10">
      <c r="A342" s="18" t="s">
        <v>906</v>
      </c>
      <c r="B342" s="18" t="s">
        <v>1385</v>
      </c>
      <c r="C342" s="18" t="s">
        <v>944</v>
      </c>
      <c r="D342" s="18" t="s">
        <v>945</v>
      </c>
      <c r="E342" s="18" t="s">
        <v>1383</v>
      </c>
      <c r="F342" s="18" t="s">
        <v>925</v>
      </c>
      <c r="G342" s="41" t="s">
        <v>943</v>
      </c>
      <c r="H342" s="18" t="s">
        <v>927</v>
      </c>
      <c r="I342" s="18" t="s">
        <v>928</v>
      </c>
      <c r="J342" s="18" t="s">
        <v>1486</v>
      </c>
    </row>
  </sheetData>
  <mergeCells count="86">
    <mergeCell ref="A2:J2"/>
    <mergeCell ref="A3:H3"/>
    <mergeCell ref="A8:A13"/>
    <mergeCell ref="A14:A20"/>
    <mergeCell ref="A21:A25"/>
    <mergeCell ref="A26:A31"/>
    <mergeCell ref="A32:A42"/>
    <mergeCell ref="A43:A49"/>
    <mergeCell ref="A50:A54"/>
    <mergeCell ref="A55:A65"/>
    <mergeCell ref="A66:A88"/>
    <mergeCell ref="A89:A101"/>
    <mergeCell ref="A102:A115"/>
    <mergeCell ref="A116:A121"/>
    <mergeCell ref="A122:A134"/>
    <mergeCell ref="A135:A139"/>
    <mergeCell ref="A140:A149"/>
    <mergeCell ref="A150:A156"/>
    <mergeCell ref="A157:A163"/>
    <mergeCell ref="A164:A168"/>
    <mergeCell ref="A169:A173"/>
    <mergeCell ref="A174:A183"/>
    <mergeCell ref="A184:A197"/>
    <mergeCell ref="A198:A202"/>
    <mergeCell ref="A203:A211"/>
    <mergeCell ref="A212:A220"/>
    <mergeCell ref="A221:A227"/>
    <mergeCell ref="A229:A233"/>
    <mergeCell ref="A234:A238"/>
    <mergeCell ref="A240:A244"/>
    <mergeCell ref="A245:A249"/>
    <mergeCell ref="A251:A255"/>
    <mergeCell ref="A257:A261"/>
    <mergeCell ref="A262:A270"/>
    <mergeCell ref="A271:A279"/>
    <mergeCell ref="A281:A288"/>
    <mergeCell ref="A289:A293"/>
    <mergeCell ref="A295:A299"/>
    <mergeCell ref="A300:A304"/>
    <mergeCell ref="A306:A312"/>
    <mergeCell ref="A314:A323"/>
    <mergeCell ref="A325:A330"/>
    <mergeCell ref="A331:A335"/>
    <mergeCell ref="A337:A342"/>
    <mergeCell ref="B8:B13"/>
    <mergeCell ref="B14:B20"/>
    <mergeCell ref="B21:B25"/>
    <mergeCell ref="B26:B31"/>
    <mergeCell ref="B32:B42"/>
    <mergeCell ref="B43:B49"/>
    <mergeCell ref="B50:B54"/>
    <mergeCell ref="B55:B65"/>
    <mergeCell ref="B66:B88"/>
    <mergeCell ref="B89:B101"/>
    <mergeCell ref="B102:B115"/>
    <mergeCell ref="B116:B121"/>
    <mergeCell ref="B122:B134"/>
    <mergeCell ref="B135:B139"/>
    <mergeCell ref="B140:B149"/>
    <mergeCell ref="B150:B156"/>
    <mergeCell ref="B157:B163"/>
    <mergeCell ref="B164:B168"/>
    <mergeCell ref="B169:B173"/>
    <mergeCell ref="B174:B183"/>
    <mergeCell ref="B184:B197"/>
    <mergeCell ref="B198:B202"/>
    <mergeCell ref="B203:B211"/>
    <mergeCell ref="B212:B220"/>
    <mergeCell ref="B221:B227"/>
    <mergeCell ref="B229:B233"/>
    <mergeCell ref="B234:B238"/>
    <mergeCell ref="B240:B244"/>
    <mergeCell ref="B245:B249"/>
    <mergeCell ref="B251:B255"/>
    <mergeCell ref="B257:B261"/>
    <mergeCell ref="B262:B270"/>
    <mergeCell ref="B271:B279"/>
    <mergeCell ref="B281:B288"/>
    <mergeCell ref="B289:B293"/>
    <mergeCell ref="B295:B299"/>
    <mergeCell ref="B300:B304"/>
    <mergeCell ref="B306:B312"/>
    <mergeCell ref="B314:B323"/>
    <mergeCell ref="B325:B330"/>
    <mergeCell ref="B331:B335"/>
    <mergeCell ref="B337:B34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2025-02-21T07:25:00Z</dcterms:created>
  <dcterms:modified xsi:type="dcterms:W3CDTF">2025-09-08T10:19:39Z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2B00AC46CCF9446A9AED26E37B63A1E4_12</vt:lpwstr>
  </property>
  <property fmtid="{D5CDD505-2E9C-101B-9397-08002B2CF9AE}" pid="3" name="KSOProductBuildVer">
    <vt:lpwstr>2052-11.8.2.10251</vt:lpwstr>
  </property>
</Properties>
</file>